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11340" windowHeight="9690" firstSheet="3" activeTab="3"/>
  </bookViews>
  <sheets>
    <sheet name="Лист72" sheetId="1" r:id="rId1"/>
    <sheet name="тяга б.э." sheetId="2" r:id="rId2"/>
    <sheet name="жим софт мн.петельная" sheetId="3" r:id="rId3"/>
    <sheet name="жим б.э." sheetId="4" r:id="rId4"/>
    <sheet name="Русская тяга 200 кг." sheetId="5" r:id="rId5"/>
    <sheet name="Русская тяга 100 кг." sheetId="6" r:id="rId6"/>
    <sheet name="Русская тяга 55 кг." sheetId="7" r:id="rId7"/>
    <sheet name="РЖ 100 кг." sheetId="8" r:id="rId8"/>
    <sheet name="РЖ 55 кг." sheetId="9" r:id="rId9"/>
    <sheet name="РЖ 35 кг." sheetId="10" r:id="rId10"/>
    <sheet name="народный жим 1_2 вес" sheetId="11" r:id="rId11"/>
    <sheet name="Бицепс " sheetId="12" r:id="rId12"/>
  </sheets>
  <definedNames/>
  <calcPr fullCalcOnLoad="1" refMode="R1C1"/>
</workbook>
</file>

<file path=xl/sharedStrings.xml><?xml version="1.0" encoding="utf-8"?>
<sst xmlns="http://schemas.openxmlformats.org/spreadsheetml/2006/main" count="1453" uniqueCount="516">
  <si>
    <t>ФИО</t>
  </si>
  <si>
    <t>Присед</t>
  </si>
  <si>
    <t>Жим</t>
  </si>
  <si>
    <t>Тяга</t>
  </si>
  <si>
    <t>Сумма</t>
  </si>
  <si>
    <t>Тренер</t>
  </si>
  <si>
    <t>Очки</t>
  </si>
  <si>
    <t>Команда</t>
  </si>
  <si>
    <t>Рек</t>
  </si>
  <si>
    <t>Коэф</t>
  </si>
  <si>
    <t>Возрастная группа
Дата рождения/Возраст</t>
  </si>
  <si>
    <t>Собственный 
Вес</t>
  </si>
  <si>
    <t>Город/Область</t>
  </si>
  <si>
    <t>Главный судья:</t>
  </si>
  <si>
    <t>Главный секретарь:</t>
  </si>
  <si>
    <t>Старший судья:</t>
  </si>
  <si>
    <t>Боковой судья:</t>
  </si>
  <si>
    <t>Секретарь:</t>
  </si>
  <si>
    <t xml:space="preserve">Абсолютный зачёт </t>
  </si>
  <si>
    <t>Результат</t>
  </si>
  <si>
    <t>Shv/Mel</t>
  </si>
  <si>
    <t>Жим лёжа</t>
  </si>
  <si>
    <t>ВЕСОВАЯ КАТЕГОРИЯ   56</t>
  </si>
  <si>
    <t>Решетникова Анастасия</t>
  </si>
  <si>
    <t>1. Решетникова Анастасия</t>
  </si>
  <si>
    <t>Девушки 16 - 17 (28.02.2002)/17</t>
  </si>
  <si>
    <t>54,00</t>
  </si>
  <si>
    <t xml:space="preserve">лично </t>
  </si>
  <si>
    <t xml:space="preserve">Киселёвск/Кемеровская область </t>
  </si>
  <si>
    <t>35,0</t>
  </si>
  <si>
    <t>40,0</t>
  </si>
  <si>
    <t>45,0</t>
  </si>
  <si>
    <t xml:space="preserve"> </t>
  </si>
  <si>
    <t>ВЕСОВАЯ КАТЕГОРИЯ   60</t>
  </si>
  <si>
    <t>Андронова Алена</t>
  </si>
  <si>
    <t>1. Андронова Алена</t>
  </si>
  <si>
    <t>Открытая (08.04.1986)/33</t>
  </si>
  <si>
    <t>58,80</t>
  </si>
  <si>
    <t xml:space="preserve">Кемерово/Кемеровская область </t>
  </si>
  <si>
    <t>60,0</t>
  </si>
  <si>
    <t>62,5</t>
  </si>
  <si>
    <t>65,0</t>
  </si>
  <si>
    <t>ВЕСОВАЯ КАТЕГОРИЯ   67.5</t>
  </si>
  <si>
    <t>Ахмадеева Эльмира</t>
  </si>
  <si>
    <t>1. Ахмадеева Эльмира</t>
  </si>
  <si>
    <t>Открытая (03.09.1989)/29</t>
  </si>
  <si>
    <t>61,20</t>
  </si>
  <si>
    <t xml:space="preserve">Томск/Томская область </t>
  </si>
  <si>
    <t>80,0</t>
  </si>
  <si>
    <t>82,5</t>
  </si>
  <si>
    <t xml:space="preserve">Обухович А. </t>
  </si>
  <si>
    <t>ВЕСОВАЯ КАТЕГОРИЯ   52</t>
  </si>
  <si>
    <t>Серёдкин Максим</t>
  </si>
  <si>
    <t>1. Серёдкин Максим</t>
  </si>
  <si>
    <t>Юноши 14-15 (17.06.2004)/15</t>
  </si>
  <si>
    <t>52,00</t>
  </si>
  <si>
    <t xml:space="preserve">Железное Братство </t>
  </si>
  <si>
    <t>42,5</t>
  </si>
  <si>
    <t xml:space="preserve">Ефременко В.Н, </t>
  </si>
  <si>
    <t>Тусалимов Андрей</t>
  </si>
  <si>
    <t>1. Тусалимов Андрей</t>
  </si>
  <si>
    <t>Открытая (10.05.1992)/27</t>
  </si>
  <si>
    <t>56,00</t>
  </si>
  <si>
    <t xml:space="preserve">Железное Братство Спарта </t>
  </si>
  <si>
    <t>110,0</t>
  </si>
  <si>
    <t>117,5</t>
  </si>
  <si>
    <t>Абдуллин Дамир</t>
  </si>
  <si>
    <t>1. Абдуллин Дамир</t>
  </si>
  <si>
    <t>Открытая (20.01.1991)/28</t>
  </si>
  <si>
    <t>67,50</t>
  </si>
  <si>
    <t>105,0</t>
  </si>
  <si>
    <t>112,5</t>
  </si>
  <si>
    <t>ВЕСОВАЯ КАТЕГОРИЯ   75</t>
  </si>
  <si>
    <t>Внуков Данил</t>
  </si>
  <si>
    <t>1. Внуков Данил</t>
  </si>
  <si>
    <t>Юноши 14-15 (11.07.2004)/15</t>
  </si>
  <si>
    <t>73,70</t>
  </si>
  <si>
    <t xml:space="preserve">Промышленная/Кемеровская область </t>
  </si>
  <si>
    <t>85,0</t>
  </si>
  <si>
    <t>90,0</t>
  </si>
  <si>
    <t xml:space="preserve">Перевалов Р.В. </t>
  </si>
  <si>
    <t>Кашин Вадим</t>
  </si>
  <si>
    <t>2. Кашин Вадим</t>
  </si>
  <si>
    <t>Юноши 14-15 (24.02.2005)/14</t>
  </si>
  <si>
    <t>68,00</t>
  </si>
  <si>
    <t xml:space="preserve">Прокопьевск/Кемеровская область </t>
  </si>
  <si>
    <t>75,0</t>
  </si>
  <si>
    <t>0,0</t>
  </si>
  <si>
    <t xml:space="preserve">Самойлов В. </t>
  </si>
  <si>
    <t>Туркин Александр</t>
  </si>
  <si>
    <t>1. Туркин Александр</t>
  </si>
  <si>
    <t>Открытая (18.08.1986)/33</t>
  </si>
  <si>
    <t>73,00</t>
  </si>
  <si>
    <t xml:space="preserve">Белово/Кемеровская область </t>
  </si>
  <si>
    <t>115,0</t>
  </si>
  <si>
    <t>120,0</t>
  </si>
  <si>
    <t>127,5</t>
  </si>
  <si>
    <t>Ракитов Алексей</t>
  </si>
  <si>
    <t>2. Ракитов Алексей</t>
  </si>
  <si>
    <t>Открытая (01.11.1992)/26</t>
  </si>
  <si>
    <t>75,00</t>
  </si>
  <si>
    <t xml:space="preserve">Новокузнецк/Кемеровская область </t>
  </si>
  <si>
    <t>100,0</t>
  </si>
  <si>
    <t>Дудкин Антон</t>
  </si>
  <si>
    <t>1. Дудкин Антон</t>
  </si>
  <si>
    <t>Мастера 40 - 44 (19.07.1979)/40</t>
  </si>
  <si>
    <t>73,50</t>
  </si>
  <si>
    <t xml:space="preserve">КироваСпорт </t>
  </si>
  <si>
    <t>102,5</t>
  </si>
  <si>
    <t>107,5</t>
  </si>
  <si>
    <t>ВЕСОВАЯ КАТЕГОРИЯ   82.5</t>
  </si>
  <si>
    <t>Кохась Петр</t>
  </si>
  <si>
    <t>1. Кохась Петр</t>
  </si>
  <si>
    <t>Открытая (18.04.1990)/29</t>
  </si>
  <si>
    <t>77,70</t>
  </si>
  <si>
    <t xml:space="preserve">Полысаево/Кемеровская область </t>
  </si>
  <si>
    <t>130,0</t>
  </si>
  <si>
    <t>142,5</t>
  </si>
  <si>
    <t>155,0</t>
  </si>
  <si>
    <t>ВЕСОВАЯ КАТЕГОРИЯ   90</t>
  </si>
  <si>
    <t>Громов Денис</t>
  </si>
  <si>
    <t>1. Громов Денис</t>
  </si>
  <si>
    <t>Юноши 16 - 17 (14.07.2003)/16</t>
  </si>
  <si>
    <t>89,00</t>
  </si>
  <si>
    <t xml:space="preserve">Колесников С. </t>
  </si>
  <si>
    <t>Туманов Никита</t>
  </si>
  <si>
    <t>1. Туманов Никита</t>
  </si>
  <si>
    <t>Открытая (10.07.1984)/35</t>
  </si>
  <si>
    <t>89,30</t>
  </si>
  <si>
    <t xml:space="preserve">Ленинск-Кузнецкий/Кемеровская область </t>
  </si>
  <si>
    <t>135,0</t>
  </si>
  <si>
    <t>Сенчуков Владимир</t>
  </si>
  <si>
    <t>2. Сенчуков Владимир</t>
  </si>
  <si>
    <t>Открытая (15.12.1981)/37</t>
  </si>
  <si>
    <t>88,00</t>
  </si>
  <si>
    <t xml:space="preserve">Губарев И. </t>
  </si>
  <si>
    <t>Решетников Евгений</t>
  </si>
  <si>
    <t>1. Решетников Евгений</t>
  </si>
  <si>
    <t>Мастера 40 - 44 (23.02.1978)/41</t>
  </si>
  <si>
    <t>85,80</t>
  </si>
  <si>
    <t>150,0</t>
  </si>
  <si>
    <t>160,0</t>
  </si>
  <si>
    <t>165,0</t>
  </si>
  <si>
    <t>ВЕСОВАЯ КАТЕГОРИЯ   100</t>
  </si>
  <si>
    <t>Степаньченко Владимир</t>
  </si>
  <si>
    <t>1. Степаньченко Владимир</t>
  </si>
  <si>
    <t>Открытая (27.06.1990)/29</t>
  </si>
  <si>
    <t>99,30</t>
  </si>
  <si>
    <t>157,5</t>
  </si>
  <si>
    <t>170,0</t>
  </si>
  <si>
    <t>Кефер Иван</t>
  </si>
  <si>
    <t>2. Кефер Иван</t>
  </si>
  <si>
    <t>Открытая (20.06.1987)/32</t>
  </si>
  <si>
    <t>100,00</t>
  </si>
  <si>
    <t>140,0</t>
  </si>
  <si>
    <t>Шишкин Евгений</t>
  </si>
  <si>
    <t>3. Шишкин Евгений</t>
  </si>
  <si>
    <t>Открытая (17.04.1976)/43</t>
  </si>
  <si>
    <t>99,00</t>
  </si>
  <si>
    <t xml:space="preserve">Прогресс </t>
  </si>
  <si>
    <t>Белкин Александр</t>
  </si>
  <si>
    <t>4. Белкин Александр</t>
  </si>
  <si>
    <t>Открытая (21.06.1981)/38</t>
  </si>
  <si>
    <t>96,70</t>
  </si>
  <si>
    <t>152,0</t>
  </si>
  <si>
    <t>162,5</t>
  </si>
  <si>
    <t xml:space="preserve">Голев Н. </t>
  </si>
  <si>
    <t>Губарев Игнат</t>
  </si>
  <si>
    <t>5. Губарев Игнат</t>
  </si>
  <si>
    <t>Открытая (20.02.1992)/27</t>
  </si>
  <si>
    <t>95,00</t>
  </si>
  <si>
    <t>145,0</t>
  </si>
  <si>
    <t>Воробьев Алексей</t>
  </si>
  <si>
    <t>1. Воробьев Алексей</t>
  </si>
  <si>
    <t>Мастера 40 - 44 (18.04.1975)/44</t>
  </si>
  <si>
    <t>137,5</t>
  </si>
  <si>
    <t>Головинский Эдуард</t>
  </si>
  <si>
    <t>1. Головинский Эдуард</t>
  </si>
  <si>
    <t>Мастера 50 - 54 (25.06.1968)/51</t>
  </si>
  <si>
    <t>180,0</t>
  </si>
  <si>
    <t>190,0</t>
  </si>
  <si>
    <t xml:space="preserve">Овечкин А. </t>
  </si>
  <si>
    <t>ВЕСОВАЯ КАТЕГОРИЯ   110</t>
  </si>
  <si>
    <t>Самойлов Владимир</t>
  </si>
  <si>
    <t>1. Самойлов Владимир</t>
  </si>
  <si>
    <t>Открытая (09.05.1991)/28</t>
  </si>
  <si>
    <t>110,00</t>
  </si>
  <si>
    <t>195,0</t>
  </si>
  <si>
    <t>205,0</t>
  </si>
  <si>
    <t>Шадров Евгений</t>
  </si>
  <si>
    <t>2. Шадров Евгений</t>
  </si>
  <si>
    <t>Открытая (11.02.1993)/26</t>
  </si>
  <si>
    <t>106,50</t>
  </si>
  <si>
    <t>202,5</t>
  </si>
  <si>
    <t>Портнов Юрий</t>
  </si>
  <si>
    <t>3. Портнов Юрий</t>
  </si>
  <si>
    <t>Открытая (22.12.1983)/35</t>
  </si>
  <si>
    <t>109,00</t>
  </si>
  <si>
    <t>152,5</t>
  </si>
  <si>
    <t>ВЕСОВАЯ КАТЕГОРИЯ   125</t>
  </si>
  <si>
    <t>Сидякин Игорь</t>
  </si>
  <si>
    <t>1. Сидякин Игорь</t>
  </si>
  <si>
    <t>Юноши 18 - 19 (30.07.2001)/18</t>
  </si>
  <si>
    <t>125,00</t>
  </si>
  <si>
    <t>Волков Иван</t>
  </si>
  <si>
    <t>1. Волков Иван</t>
  </si>
  <si>
    <t>Открытая (12.03.1988)/31</t>
  </si>
  <si>
    <t>117,80</t>
  </si>
  <si>
    <t>ВЕСОВАЯ КАТЕГОРИЯ   140</t>
  </si>
  <si>
    <t>-. Баранов Олег</t>
  </si>
  <si>
    <t>Открытая (31.03.1994)/25</t>
  </si>
  <si>
    <t>137,00</t>
  </si>
  <si>
    <t xml:space="preserve">Пластилин </t>
  </si>
  <si>
    <t>Терёхин Андрей</t>
  </si>
  <si>
    <t>1. Терёхин Андрей</t>
  </si>
  <si>
    <t>Мастера 45 - 49 (22.10.1973)/45</t>
  </si>
  <si>
    <t>126,00</t>
  </si>
  <si>
    <t xml:space="preserve">Женщины </t>
  </si>
  <si>
    <t xml:space="preserve">Девушки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</si>
  <si>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</si>
  <si>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</si>
  <si>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</si>
  <si>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</si>
  <si>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 xml:space="preserve">Shv/Mel </t>
  </si>
  <si>
    <t xml:space="preserve">Юноши 16 - 17 </t>
  </si>
  <si>
    <t>56</t>
  </si>
  <si>
    <t>45,6719</t>
  </si>
  <si>
    <t xml:space="preserve">Открытая </t>
  </si>
  <si>
    <t>67.5</t>
  </si>
  <si>
    <t>67,7400</t>
  </si>
  <si>
    <t>60</t>
  </si>
  <si>
    <t>56,9172</t>
  </si>
  <si>
    <t xml:space="preserve">Мужчины </t>
  </si>
  <si>
    <t xml:space="preserve">Юноши </t>
  </si>
  <si>
    <t xml:space="preserve">Юноши 18 - 19 </t>
  </si>
  <si>
    <t>125</t>
  </si>
  <si>
    <t>85,6003</t>
  </si>
  <si>
    <t>90</t>
  </si>
  <si>
    <t>74,9148</t>
  </si>
  <si>
    <t xml:space="preserve">Юноши 14-15 </t>
  </si>
  <si>
    <t>75</t>
  </si>
  <si>
    <t>67,5721</t>
  </si>
  <si>
    <t>66,5215</t>
  </si>
  <si>
    <t>52</t>
  </si>
  <si>
    <t>44,9108</t>
  </si>
  <si>
    <t>110</t>
  </si>
  <si>
    <t>109,9825</t>
  </si>
  <si>
    <t>109,6132</t>
  </si>
  <si>
    <t>102,7890</t>
  </si>
  <si>
    <t>95,2200</t>
  </si>
  <si>
    <t>100</t>
  </si>
  <si>
    <t>94,4860</t>
  </si>
  <si>
    <t>82.5</t>
  </si>
  <si>
    <t>92,1548</t>
  </si>
  <si>
    <t>91,4100</t>
  </si>
  <si>
    <t>89,0400</t>
  </si>
  <si>
    <t>85,5304</t>
  </si>
  <si>
    <t>82,3310</t>
  </si>
  <si>
    <t>81,4680</t>
  </si>
  <si>
    <t>80,6550</t>
  </si>
  <si>
    <t>79,8380</t>
  </si>
  <si>
    <t>79,3935</t>
  </si>
  <si>
    <t>73,0950</t>
  </si>
  <si>
    <t>65,2850</t>
  </si>
  <si>
    <t xml:space="preserve">Мастера </t>
  </si>
  <si>
    <t xml:space="preserve">Мастера 50 - 54 </t>
  </si>
  <si>
    <t>120,6047</t>
  </si>
  <si>
    <t xml:space="preserve">Мастера 40 - 44 </t>
  </si>
  <si>
    <t>96,7855</t>
  </si>
  <si>
    <t>78,5364</t>
  </si>
  <si>
    <t xml:space="preserve">Мастера 45 - 49 </t>
  </si>
  <si>
    <t>140</t>
  </si>
  <si>
    <t>76,2651</t>
  </si>
  <si>
    <t>69,2080</t>
  </si>
  <si>
    <t>Гриневич Анастасия</t>
  </si>
  <si>
    <t>1. Гриневич Анастасия</t>
  </si>
  <si>
    <t>Открытая (07.01.1993)/26</t>
  </si>
  <si>
    <t>72,5</t>
  </si>
  <si>
    <t xml:space="preserve">Шадров Е. </t>
  </si>
  <si>
    <t>Храмова Татьяна</t>
  </si>
  <si>
    <t>1. Храмова Татьяна</t>
  </si>
  <si>
    <t>Открытая (20.09.1986)/32</t>
  </si>
  <si>
    <t>55,50</t>
  </si>
  <si>
    <t>77,5</t>
  </si>
  <si>
    <t>340,0</t>
  </si>
  <si>
    <t>350,0</t>
  </si>
  <si>
    <t>70,2779</t>
  </si>
  <si>
    <t>66,6057</t>
  </si>
  <si>
    <t>187,7750</t>
  </si>
  <si>
    <t>Становая тяга</t>
  </si>
  <si>
    <t>Петрова Марина</t>
  </si>
  <si>
    <t>1. Петрова Марина</t>
  </si>
  <si>
    <t>Открытая (15.08.1988)/31</t>
  </si>
  <si>
    <t>92,5</t>
  </si>
  <si>
    <t>97,5</t>
  </si>
  <si>
    <t xml:space="preserve">Кефер И. </t>
  </si>
  <si>
    <t>Кулиш Анна</t>
  </si>
  <si>
    <t>1. Кулиш Анна</t>
  </si>
  <si>
    <t>Открытая (13.06.1988)/31</t>
  </si>
  <si>
    <t>60,00</t>
  </si>
  <si>
    <t xml:space="preserve">Осинники/Кемеровская область </t>
  </si>
  <si>
    <t>95,0</t>
  </si>
  <si>
    <t>70,0</t>
  </si>
  <si>
    <t>Иглин Егор</t>
  </si>
  <si>
    <t>1. Иглин Егор</t>
  </si>
  <si>
    <t>Юниоры 20 - 23 (12.04.1996)/23</t>
  </si>
  <si>
    <t>66,90</t>
  </si>
  <si>
    <t>Разумов Рустам</t>
  </si>
  <si>
    <t>1. Разумов Рустам</t>
  </si>
  <si>
    <t>Открытая (13.12.1990)/28</t>
  </si>
  <si>
    <t>66,80</t>
  </si>
  <si>
    <t>175,0</t>
  </si>
  <si>
    <t>Иванов Андрей</t>
  </si>
  <si>
    <t>1. Иванов Андрей</t>
  </si>
  <si>
    <t>Юниоры 20 - 23 (25.08.1996)/22</t>
  </si>
  <si>
    <t>70,10</t>
  </si>
  <si>
    <t xml:space="preserve">Ижморский/Кемеровская </t>
  </si>
  <si>
    <t>Матяж Александр</t>
  </si>
  <si>
    <t>1. Матяж Александр</t>
  </si>
  <si>
    <t>Открытая (07.03.1989)/30</t>
  </si>
  <si>
    <t>72,50</t>
  </si>
  <si>
    <t>200,0</t>
  </si>
  <si>
    <t>3. Туркин Александр</t>
  </si>
  <si>
    <t>Карабельников Александр</t>
  </si>
  <si>
    <t>1. Карабельников Александр</t>
  </si>
  <si>
    <t>Юниоры 20 - 23 (24.11.1998)/20</t>
  </si>
  <si>
    <t>82,30</t>
  </si>
  <si>
    <t>187,5</t>
  </si>
  <si>
    <t>210,0</t>
  </si>
  <si>
    <t>Штемберг Сергей</t>
  </si>
  <si>
    <t>2. Штемберг Сергей</t>
  </si>
  <si>
    <t>Юниоры 20 - 23 (26.01.1998)/21</t>
  </si>
  <si>
    <t>81,70</t>
  </si>
  <si>
    <t>Самойлов Евгений</t>
  </si>
  <si>
    <t>1. Самойлов Евгений</t>
  </si>
  <si>
    <t>Открытая (13.07.1989)/30</t>
  </si>
  <si>
    <t>217,5</t>
  </si>
  <si>
    <t>230,0</t>
  </si>
  <si>
    <t>240,0</t>
  </si>
  <si>
    <t>Каменев Владимир</t>
  </si>
  <si>
    <t>1. Каменев Владимир</t>
  </si>
  <si>
    <t>Мастера 65 - 69 (23.06.1952)/67</t>
  </si>
  <si>
    <t>80,20</t>
  </si>
  <si>
    <t>1. Сенчуков Владимир</t>
  </si>
  <si>
    <t>220,0</t>
  </si>
  <si>
    <t>Лищенко Алексей</t>
  </si>
  <si>
    <t>-. Лищенко Алексей</t>
  </si>
  <si>
    <t>Открытая (12.08.1985)/34</t>
  </si>
  <si>
    <t>90,00</t>
  </si>
  <si>
    <t>255,0</t>
  </si>
  <si>
    <t>1. Кефер Иван</t>
  </si>
  <si>
    <t>270,0</t>
  </si>
  <si>
    <t>Руднев Сергей</t>
  </si>
  <si>
    <t>2. Руднев Сергей</t>
  </si>
  <si>
    <t>Открытая (24.08.1992)/26</t>
  </si>
  <si>
    <t>265,0</t>
  </si>
  <si>
    <t>3. Губарев Игнат</t>
  </si>
  <si>
    <t>135,4800</t>
  </si>
  <si>
    <t>86,0900</t>
  </si>
  <si>
    <t>84,3970</t>
  </si>
  <si>
    <t>87,0147</t>
  </si>
  <si>
    <t xml:space="preserve">Юниоры </t>
  </si>
  <si>
    <t xml:space="preserve">Юниоры 20 - 23 </t>
  </si>
  <si>
    <t>134,1709</t>
  </si>
  <si>
    <t>124,3890</t>
  </si>
  <si>
    <t>120,8343</t>
  </si>
  <si>
    <t>117,0216</t>
  </si>
  <si>
    <t>149,5800</t>
  </si>
  <si>
    <t>143,4050</t>
  </si>
  <si>
    <t>141,2700</t>
  </si>
  <si>
    <t>139,9680</t>
  </si>
  <si>
    <t>138,2670</t>
  </si>
  <si>
    <t>132,9000</t>
  </si>
  <si>
    <t>132,3855</t>
  </si>
  <si>
    <t>130,5700</t>
  </si>
  <si>
    <t>128,2225</t>
  </si>
  <si>
    <t>116,3990</t>
  </si>
  <si>
    <t xml:space="preserve">Мастера 65 - 69 </t>
  </si>
  <si>
    <t>184,1381</t>
  </si>
  <si>
    <t>Вес</t>
  </si>
  <si>
    <t>Повторы</t>
  </si>
  <si>
    <t>Тоннаж</t>
  </si>
  <si>
    <t>НАП Н.Ж.</t>
  </si>
  <si>
    <t>Народный жим</t>
  </si>
  <si>
    <t>30,0</t>
  </si>
  <si>
    <t>42,0</t>
  </si>
  <si>
    <t xml:space="preserve">НАП Н.Ж. </t>
  </si>
  <si>
    <t>1260,0</t>
  </si>
  <si>
    <t>1164,7440</t>
  </si>
  <si>
    <t>Подъем на бицепс</t>
  </si>
  <si>
    <t>1. Лищенко Алексей</t>
  </si>
  <si>
    <t>67,5</t>
  </si>
  <si>
    <t>52,5</t>
  </si>
  <si>
    <t>57,5</t>
  </si>
  <si>
    <t>Чахлов Герман</t>
  </si>
  <si>
    <t>1. Чахлов Герман</t>
  </si>
  <si>
    <t>Юноши 18 - 19 (10.03.2001)/18</t>
  </si>
  <si>
    <t xml:space="preserve">Анжеро-Судженск/Кемеровская область </t>
  </si>
  <si>
    <t>55,0</t>
  </si>
  <si>
    <t xml:space="preserve">Зевякин И. </t>
  </si>
  <si>
    <t>37,2776</t>
  </si>
  <si>
    <t>40,9710</t>
  </si>
  <si>
    <t>32,8425</t>
  </si>
  <si>
    <t>30,3840</t>
  </si>
  <si>
    <t>Атлетизм</t>
  </si>
  <si>
    <t>Русский жим</t>
  </si>
  <si>
    <t>ВЕСОВАЯ КАТЕГОРИЯ   All</t>
  </si>
  <si>
    <t>21,0</t>
  </si>
  <si>
    <t xml:space="preserve">Атлетизм </t>
  </si>
  <si>
    <t>All</t>
  </si>
  <si>
    <t>735,0</t>
  </si>
  <si>
    <t>12,5000</t>
  </si>
  <si>
    <t>1925,0</t>
  </si>
  <si>
    <t>26,1904</t>
  </si>
  <si>
    <t>Николовский Павел</t>
  </si>
  <si>
    <t>1. Николовский Павел</t>
  </si>
  <si>
    <t>Мастера 40 - 44 (08.05.1978)/41</t>
  </si>
  <si>
    <t>74,40</t>
  </si>
  <si>
    <t>27,0</t>
  </si>
  <si>
    <t>2. Воробьев Алексей</t>
  </si>
  <si>
    <t>11,0</t>
  </si>
  <si>
    <t>2700,0</t>
  </si>
  <si>
    <t>36,2903</t>
  </si>
  <si>
    <t>1100,0</t>
  </si>
  <si>
    <t>11,0000</t>
  </si>
  <si>
    <t>Русская становая</t>
  </si>
  <si>
    <t>Сафронова Дарья</t>
  </si>
  <si>
    <t>1. Сафронова Дарья</t>
  </si>
  <si>
    <t>Девушки 18 - 19 (14.01.2001)/18</t>
  </si>
  <si>
    <t>72,00</t>
  </si>
  <si>
    <t xml:space="preserve">Хоронжак И </t>
  </si>
  <si>
    <t>Пугосей Наталья</t>
  </si>
  <si>
    <t>1. Пугосей Наталья</t>
  </si>
  <si>
    <t>Открытая (03.12.1986)/32</t>
  </si>
  <si>
    <t>65,00</t>
  </si>
  <si>
    <t>2. Кулиш Анна</t>
  </si>
  <si>
    <t>54,0</t>
  </si>
  <si>
    <t>Пичугина Ирина</t>
  </si>
  <si>
    <t>3. Пичугина Ирина</t>
  </si>
  <si>
    <t>Открытая (15.12.1995)/23</t>
  </si>
  <si>
    <t>59,20</t>
  </si>
  <si>
    <t>52,0</t>
  </si>
  <si>
    <t xml:space="preserve">Бойченко Н. </t>
  </si>
  <si>
    <t>1595,0</t>
  </si>
  <si>
    <t>22,1527</t>
  </si>
  <si>
    <t>8525,0</t>
  </si>
  <si>
    <t>131,1538</t>
  </si>
  <si>
    <t>2970,0</t>
  </si>
  <si>
    <t>49,5000</t>
  </si>
  <si>
    <t>2860,0</t>
  </si>
  <si>
    <t>48,3108</t>
  </si>
  <si>
    <t>Чернов Владислав</t>
  </si>
  <si>
    <t>1. Чернов Владислав</t>
  </si>
  <si>
    <t>Юниоры 20 - 23 (07.09.1997)/21</t>
  </si>
  <si>
    <t xml:space="preserve">Вайнс </t>
  </si>
  <si>
    <t>47,0</t>
  </si>
  <si>
    <t>Чернов Андрей</t>
  </si>
  <si>
    <t>2. Чернов Андрей</t>
  </si>
  <si>
    <t>Юниоры 20 - 23 (27.10.1995)/23</t>
  </si>
  <si>
    <t>74,10</t>
  </si>
  <si>
    <t>36,0</t>
  </si>
  <si>
    <t>-. Петров Вячеслав</t>
  </si>
  <si>
    <t>Юниоры 20 - 23 (28.04.1996)/23</t>
  </si>
  <si>
    <t>82,00</t>
  </si>
  <si>
    <t>Хоронжак Иван</t>
  </si>
  <si>
    <t>1. Хоронжак Иван</t>
  </si>
  <si>
    <t>Открытая (25.04.1982)/37</t>
  </si>
  <si>
    <t>96,50</t>
  </si>
  <si>
    <t>2. Матяж Александр</t>
  </si>
  <si>
    <t>39,0</t>
  </si>
  <si>
    <t>Исаев Алексей</t>
  </si>
  <si>
    <t>3. Исаев Алексей</t>
  </si>
  <si>
    <t>Открытая (19.06.1991)/28</t>
  </si>
  <si>
    <t>4. Разумов Рустам</t>
  </si>
  <si>
    <t>25,0</t>
  </si>
  <si>
    <t>5. Самойлов Евгений</t>
  </si>
  <si>
    <t>4700,0</t>
  </si>
  <si>
    <t>62,6666</t>
  </si>
  <si>
    <t>3600,0</t>
  </si>
  <si>
    <t>48,5829</t>
  </si>
  <si>
    <t>8000,0</t>
  </si>
  <si>
    <t>82,9015</t>
  </si>
  <si>
    <t>3900,0</t>
  </si>
  <si>
    <t>53,7931</t>
  </si>
  <si>
    <t>3500,0</t>
  </si>
  <si>
    <t>46,6666</t>
  </si>
  <si>
    <t>2500,0</t>
  </si>
  <si>
    <t>37,4251</t>
  </si>
  <si>
    <t>30,5997</t>
  </si>
  <si>
    <t>Иванов Никита</t>
  </si>
  <si>
    <t>1. Иванов Никита</t>
  </si>
  <si>
    <t>Открытая (28.02.1994)/25</t>
  </si>
  <si>
    <t>20,0</t>
  </si>
  <si>
    <t>Овечкин Андрей</t>
  </si>
  <si>
    <t>2. Овечкин Андрей</t>
  </si>
  <si>
    <t>Открытая (12.10.1983)/35</t>
  </si>
  <si>
    <t>81,00</t>
  </si>
  <si>
    <t>14,0</t>
  </si>
  <si>
    <t>4000,0</t>
  </si>
  <si>
    <t>42,1052</t>
  </si>
  <si>
    <t>2800,0</t>
  </si>
  <si>
    <t>34,5679</t>
  </si>
  <si>
    <t>Клубный чемпионат  IronBro РЖ
Русский жим 55 кг.
Кемерово/Кемеровская область 18 августа 2019 г.</t>
  </si>
  <si>
    <t>Клубный чемпионат  IronBro РЖ
Русский жим  35 кг.
Кемерово/Кемеровская область 18  августа 2019 г.</t>
  </si>
  <si>
    <t>Клубный чемпионат IronBro НЖ
 народный жим (1/2 вес)
Кемерово/Кемеровская область 18 августа 2019 г.</t>
  </si>
  <si>
    <t>Клубный чемпионат IronBro ПС
Одиночный подъём штанги на бицепс 
Кемерово/Кемеровская область 18 августа 2019 г.</t>
  </si>
  <si>
    <t>Клубный чемпионат  IronBro РЖ
Русский жим  100 кг.
Кемерово/Кемеровская область 18 августа 2019 г.</t>
  </si>
  <si>
    <t>Клубный чемпионат  IronBro РЖ
Русская станова тяга  55 кг.
Кемерово/Кемеровская область 18 августа 2019 г.</t>
  </si>
  <si>
    <t>Клубный чемпионат  IronBro РЖ
Русская станова тяга  100 кг.
Кемерово/Кемеровская область 18 августа 2019 г.</t>
  </si>
  <si>
    <t>Клубный чемпионат  IronBro РЖ
Русская станова тяга  200 кг.
Кемерово/Кемеровская область 18 августа 2019 г.</t>
  </si>
  <si>
    <t>Клубный чемпионат IronBro
 жим лежа без экипировки
Кемерово/Кемеровская область 18 августа 2019 г.</t>
  </si>
  <si>
    <t>Клубный чемпионат IronBro
 жим лежа в Софт экипировка многопетельная
Кемерово/Кемеровская область 18 августа 2019 г.</t>
  </si>
  <si>
    <t>Клубный чемпионат IronBro
 становая тяга без экипировки
Кемерово/Кемеровская область 18 августа 2019 г.</t>
  </si>
  <si>
    <t>Вайнс</t>
  </si>
  <si>
    <t>Пластилин</t>
  </si>
  <si>
    <t>Железное Братство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</si>
</sst>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1"/>
      <name val="Arial Cyr"/>
      <family val="0"/>
    </font>
    <font>
      <b/>
      <sz val="24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i/>
      <sz val="12"/>
      <name val="Arial Cyr"/>
      <family val="0"/>
    </font>
    <font>
      <strike/>
      <sz val="10"/>
      <name val="Arial Cyr"/>
      <family val="0"/>
    </font>
    <font>
      <i/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49" fontId="3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49" fontId="0" fillId="0" borderId="11" xfId="0" applyNumberFormat="1" applyFont="1" applyFill="1" applyBorder="1" applyAlignment="1">
      <alignment horizontal="left"/>
    </xf>
    <xf numFmtId="49" fontId="8" fillId="0" borderId="11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left"/>
    </xf>
    <xf numFmtId="49" fontId="8" fillId="0" borderId="12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left"/>
    </xf>
    <xf numFmtId="49" fontId="8" fillId="0" borderId="13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left"/>
    </xf>
    <xf numFmtId="49" fontId="8" fillId="0" borderId="14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 indent="1"/>
    </xf>
    <xf numFmtId="49" fontId="9" fillId="0" borderId="0" xfId="0" applyNumberFormat="1" applyFont="1" applyFill="1" applyBorder="1" applyAlignment="1">
      <alignment horizontal="left" indent="1"/>
    </xf>
    <xf numFmtId="49" fontId="9" fillId="0" borderId="0" xfId="0" applyNumberFormat="1" applyFont="1" applyFill="1" applyBorder="1" applyAlignment="1">
      <alignment horizontal="left"/>
    </xf>
    <xf numFmtId="49" fontId="3" fillId="0" borderId="1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/>
    </xf>
    <xf numFmtId="1" fontId="3" fillId="0" borderId="1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1" fontId="0" fillId="0" borderId="12" xfId="0" applyNumberFormat="1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  <xf numFmtId="1" fontId="0" fillId="0" borderId="13" xfId="0" applyNumberFormat="1" applyFont="1" applyFill="1" applyBorder="1" applyAlignment="1">
      <alignment horizontal="center"/>
    </xf>
    <xf numFmtId="1" fontId="8" fillId="0" borderId="13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/>
    </xf>
    <xf numFmtId="49" fontId="7" fillId="0" borderId="0" xfId="0" applyNumberFormat="1" applyFont="1" applyAlignment="1">
      <alignment horizontal="center"/>
    </xf>
    <xf numFmtId="49" fontId="4" fillId="0" borderId="18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/>
    </xf>
    <xf numFmtId="49" fontId="7" fillId="0" borderId="19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"/>
  <sheetViews>
    <sheetView zoomScalePageLayoutView="0" workbookViewId="0" topLeftCell="A1">
      <selection activeCell="A1" sqref="A1:IV65536"/>
    </sheetView>
  </sheetViews>
  <sheetFormatPr defaultColWidth="9.00390625" defaultRowHeight="12.75"/>
  <cols>
    <col min="1" max="1" width="25.875" style="4" bestFit="1" customWidth="1"/>
    <col min="2" max="2" width="27.875" style="4" customWidth="1"/>
    <col min="3" max="3" width="10.00390625" style="4" customWidth="1"/>
    <col min="4" max="4" width="6.625" style="5" bestFit="1" customWidth="1"/>
    <col min="5" max="5" width="23.75390625" style="4" bestFit="1" customWidth="1"/>
    <col min="6" max="6" width="21.125" style="4" bestFit="1" customWidth="1"/>
    <col min="7" max="7" width="5.625" style="3" bestFit="1" customWidth="1"/>
    <col min="8" max="8" width="7.00390625" style="3" customWidth="1"/>
    <col min="9" max="9" width="6.25390625" style="3" bestFit="1" customWidth="1"/>
    <col min="10" max="10" width="5.625" style="3" bestFit="1" customWidth="1"/>
    <col min="11" max="13" width="7.00390625" style="3" bestFit="1" customWidth="1"/>
    <col min="14" max="14" width="5.625" style="3" bestFit="1" customWidth="1"/>
    <col min="15" max="16" width="7.00390625" style="3" bestFit="1" customWidth="1"/>
    <col min="17" max="17" width="6.25390625" style="3" bestFit="1" customWidth="1"/>
    <col min="18" max="18" width="5.625" style="3" bestFit="1" customWidth="1"/>
    <col min="19" max="19" width="7.875" style="5" bestFit="1" customWidth="1"/>
    <col min="20" max="20" width="8.625" style="6" bestFit="1" customWidth="1"/>
    <col min="21" max="21" width="23.00390625" style="4" bestFit="1" customWidth="1"/>
    <col min="22" max="16384" width="9.125" style="3" customWidth="1"/>
  </cols>
  <sheetData>
    <row r="1" spans="1:21" s="2" customFormat="1" ht="15" customHeight="1">
      <c r="A1" s="39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1"/>
    </row>
    <row r="2" spans="1:21" s="2" customFormat="1" ht="66" customHeight="1" thickBot="1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4"/>
    </row>
    <row r="3" spans="1:21" s="1" customFormat="1" ht="12.75" customHeight="1">
      <c r="A3" s="45" t="s">
        <v>0</v>
      </c>
      <c r="B3" s="47" t="s">
        <v>10</v>
      </c>
      <c r="C3" s="47" t="s">
        <v>11</v>
      </c>
      <c r="D3" s="35" t="s">
        <v>9</v>
      </c>
      <c r="E3" s="49" t="s">
        <v>7</v>
      </c>
      <c r="F3" s="49" t="s">
        <v>12</v>
      </c>
      <c r="G3" s="49" t="s">
        <v>1</v>
      </c>
      <c r="H3" s="49"/>
      <c r="I3" s="49"/>
      <c r="J3" s="49"/>
      <c r="K3" s="49" t="s">
        <v>2</v>
      </c>
      <c r="L3" s="49"/>
      <c r="M3" s="49"/>
      <c r="N3" s="49"/>
      <c r="O3" s="49" t="s">
        <v>3</v>
      </c>
      <c r="P3" s="49"/>
      <c r="Q3" s="49"/>
      <c r="R3" s="49"/>
      <c r="S3" s="35" t="s">
        <v>4</v>
      </c>
      <c r="T3" s="35" t="s">
        <v>6</v>
      </c>
      <c r="U3" s="37" t="s">
        <v>5</v>
      </c>
    </row>
    <row r="4" spans="1:21" s="1" customFormat="1" ht="21" customHeight="1" thickBot="1">
      <c r="A4" s="46"/>
      <c r="B4" s="48"/>
      <c r="C4" s="48"/>
      <c r="D4" s="36"/>
      <c r="E4" s="48"/>
      <c r="F4" s="48"/>
      <c r="G4" s="7">
        <v>1</v>
      </c>
      <c r="H4" s="7">
        <v>2</v>
      </c>
      <c r="I4" s="7">
        <v>3</v>
      </c>
      <c r="J4" s="7" t="s">
        <v>8</v>
      </c>
      <c r="K4" s="7">
        <v>1</v>
      </c>
      <c r="L4" s="7">
        <v>2</v>
      </c>
      <c r="M4" s="7">
        <v>3</v>
      </c>
      <c r="N4" s="7" t="s">
        <v>8</v>
      </c>
      <c r="O4" s="7">
        <v>1</v>
      </c>
      <c r="P4" s="7">
        <v>2</v>
      </c>
      <c r="Q4" s="7">
        <v>3</v>
      </c>
      <c r="R4" s="7" t="s">
        <v>8</v>
      </c>
      <c r="S4" s="36"/>
      <c r="T4" s="36"/>
      <c r="U4" s="38"/>
    </row>
  </sheetData>
  <sheetProtection/>
  <mergeCells count="13">
    <mergeCell ref="S3:S4"/>
    <mergeCell ref="T3:T4"/>
    <mergeCell ref="U3:U4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A1" sqref="A1:K2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4" width="10.625" style="4" bestFit="1" customWidth="1"/>
    <col min="5" max="5" width="22.75390625" style="4" bestFit="1" customWidth="1"/>
    <col min="6" max="6" width="29.875" style="4" bestFit="1" customWidth="1"/>
    <col min="7" max="7" width="7.75390625" style="3" customWidth="1"/>
    <col min="8" max="8" width="8.25390625" style="29" customWidth="1"/>
    <col min="9" max="9" width="7.875" style="4" bestFit="1" customWidth="1"/>
    <col min="10" max="10" width="7.625" style="3" bestFit="1" customWidth="1"/>
    <col min="11" max="11" width="8.875" style="4" bestFit="1" customWidth="1"/>
    <col min="12" max="16384" width="9.125" style="3" customWidth="1"/>
  </cols>
  <sheetData>
    <row r="1" spans="1:11" s="2" customFormat="1" ht="28.5" customHeight="1">
      <c r="A1" s="52" t="s">
        <v>503</v>
      </c>
      <c r="B1" s="40"/>
      <c r="C1" s="40"/>
      <c r="D1" s="40"/>
      <c r="E1" s="40"/>
      <c r="F1" s="40"/>
      <c r="G1" s="40"/>
      <c r="H1" s="40"/>
      <c r="I1" s="40"/>
      <c r="J1" s="40"/>
      <c r="K1" s="41"/>
    </row>
    <row r="2" spans="1:11" s="2" customFormat="1" ht="61.5" customHeight="1" thickBot="1">
      <c r="A2" s="42"/>
      <c r="B2" s="43"/>
      <c r="C2" s="43"/>
      <c r="D2" s="43"/>
      <c r="E2" s="43"/>
      <c r="F2" s="43"/>
      <c r="G2" s="43"/>
      <c r="H2" s="43"/>
      <c r="I2" s="43"/>
      <c r="J2" s="43"/>
      <c r="K2" s="44"/>
    </row>
    <row r="3" spans="1:11" s="1" customFormat="1" ht="12.75" customHeight="1">
      <c r="A3" s="45" t="s">
        <v>0</v>
      </c>
      <c r="B3" s="47" t="s">
        <v>10</v>
      </c>
      <c r="C3" s="47" t="s">
        <v>11</v>
      </c>
      <c r="D3" s="49" t="s">
        <v>404</v>
      </c>
      <c r="E3" s="49" t="s">
        <v>7</v>
      </c>
      <c r="F3" s="49" t="s">
        <v>12</v>
      </c>
      <c r="G3" s="49" t="s">
        <v>405</v>
      </c>
      <c r="H3" s="49"/>
      <c r="I3" s="49" t="s">
        <v>381</v>
      </c>
      <c r="J3" s="49" t="s">
        <v>6</v>
      </c>
      <c r="K3" s="37" t="s">
        <v>5</v>
      </c>
    </row>
    <row r="4" spans="1:11" s="1" customFormat="1" ht="21" customHeight="1" thickBot="1">
      <c r="A4" s="46"/>
      <c r="B4" s="48"/>
      <c r="C4" s="48"/>
      <c r="D4" s="48"/>
      <c r="E4" s="48"/>
      <c r="F4" s="48"/>
      <c r="G4" s="7" t="s">
        <v>379</v>
      </c>
      <c r="H4" s="28" t="s">
        <v>380</v>
      </c>
      <c r="I4" s="48"/>
      <c r="J4" s="48"/>
      <c r="K4" s="38"/>
    </row>
    <row r="5" spans="1:10" ht="15">
      <c r="A5" s="53" t="s">
        <v>406</v>
      </c>
      <c r="B5" s="54"/>
      <c r="C5" s="54"/>
      <c r="D5" s="54"/>
      <c r="E5" s="54"/>
      <c r="F5" s="54"/>
      <c r="G5" s="54"/>
      <c r="H5" s="54"/>
      <c r="I5" s="54"/>
      <c r="J5" s="54"/>
    </row>
    <row r="6" spans="1:11" ht="12.75">
      <c r="A6" s="10" t="s">
        <v>35</v>
      </c>
      <c r="B6" s="10" t="s">
        <v>36</v>
      </c>
      <c r="C6" s="10" t="s">
        <v>37</v>
      </c>
      <c r="D6" s="10" t="str">
        <f>"1,0000"</f>
        <v>1,0000</v>
      </c>
      <c r="E6" s="10" t="s">
        <v>27</v>
      </c>
      <c r="F6" s="10" t="s">
        <v>38</v>
      </c>
      <c r="G6" s="12" t="s">
        <v>29</v>
      </c>
      <c r="H6" s="30" t="s">
        <v>407</v>
      </c>
      <c r="I6" s="10" t="str">
        <f>"735,0"</f>
        <v>735,0</v>
      </c>
      <c r="J6" s="12" t="str">
        <f>"12,5000"</f>
        <v>12,5000</v>
      </c>
      <c r="K6" s="10" t="s">
        <v>32</v>
      </c>
    </row>
    <row r="8" ht="15">
      <c r="E8" s="8" t="s">
        <v>13</v>
      </c>
    </row>
    <row r="9" ht="15">
      <c r="E9" s="8" t="s">
        <v>14</v>
      </c>
    </row>
    <row r="10" ht="15">
      <c r="E10" s="8" t="s">
        <v>15</v>
      </c>
    </row>
    <row r="11" ht="15">
      <c r="E11" s="8" t="s">
        <v>16</v>
      </c>
    </row>
    <row r="12" ht="15">
      <c r="E12" s="8" t="s">
        <v>16</v>
      </c>
    </row>
    <row r="13" ht="15">
      <c r="E13" s="8" t="s">
        <v>17</v>
      </c>
    </row>
    <row r="14" ht="15">
      <c r="E14" s="8"/>
    </row>
    <row r="16" spans="1:2" ht="18">
      <c r="A16" s="9" t="s">
        <v>18</v>
      </c>
      <c r="B16" s="9"/>
    </row>
    <row r="17" spans="1:2" ht="15">
      <c r="A17" s="22" t="s">
        <v>217</v>
      </c>
      <c r="B17" s="22"/>
    </row>
    <row r="18" spans="1:2" ht="14.25">
      <c r="A18" s="24"/>
      <c r="B18" s="25" t="s">
        <v>227</v>
      </c>
    </row>
    <row r="19" spans="1:5" ht="15">
      <c r="A19" s="26" t="s">
        <v>219</v>
      </c>
      <c r="B19" s="26" t="s">
        <v>220</v>
      </c>
      <c r="C19" s="26" t="s">
        <v>221</v>
      </c>
      <c r="D19" s="26" t="s">
        <v>222</v>
      </c>
      <c r="E19" s="26" t="s">
        <v>408</v>
      </c>
    </row>
    <row r="20" spans="1:5" ht="12.75">
      <c r="A20" s="23" t="s">
        <v>34</v>
      </c>
      <c r="B20" s="4" t="s">
        <v>227</v>
      </c>
      <c r="C20" s="4" t="s">
        <v>409</v>
      </c>
      <c r="D20" s="4" t="s">
        <v>410</v>
      </c>
      <c r="E20" s="27" t="s">
        <v>411</v>
      </c>
    </row>
  </sheetData>
  <sheetProtection/>
  <mergeCells count="12">
    <mergeCell ref="I3:I4"/>
    <mergeCell ref="J3:J4"/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A1" sqref="A1:K2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3" width="10.625" style="4" bestFit="1" customWidth="1"/>
    <col min="4" max="4" width="10.75390625" style="4" bestFit="1" customWidth="1"/>
    <col min="5" max="5" width="22.75390625" style="4" bestFit="1" customWidth="1"/>
    <col min="6" max="6" width="29.875" style="4" bestFit="1" customWidth="1"/>
    <col min="7" max="7" width="4.625" style="3" bestFit="1" customWidth="1"/>
    <col min="8" max="8" width="4.625" style="29" bestFit="1" customWidth="1"/>
    <col min="9" max="9" width="7.875" style="4" bestFit="1" customWidth="1"/>
    <col min="10" max="10" width="9.625" style="3" bestFit="1" customWidth="1"/>
    <col min="11" max="11" width="8.875" style="4" bestFit="1" customWidth="1"/>
    <col min="12" max="16384" width="9.125" style="3" customWidth="1"/>
  </cols>
  <sheetData>
    <row r="1" spans="1:11" s="2" customFormat="1" ht="28.5" customHeight="1">
      <c r="A1" s="52" t="s">
        <v>504</v>
      </c>
      <c r="B1" s="40"/>
      <c r="C1" s="40"/>
      <c r="D1" s="40"/>
      <c r="E1" s="40"/>
      <c r="F1" s="40"/>
      <c r="G1" s="40"/>
      <c r="H1" s="40"/>
      <c r="I1" s="40"/>
      <c r="J1" s="40"/>
      <c r="K1" s="41"/>
    </row>
    <row r="2" spans="1:11" s="2" customFormat="1" ht="61.5" customHeight="1" thickBot="1">
      <c r="A2" s="42"/>
      <c r="B2" s="43"/>
      <c r="C2" s="43"/>
      <c r="D2" s="43"/>
      <c r="E2" s="43"/>
      <c r="F2" s="43"/>
      <c r="G2" s="43"/>
      <c r="H2" s="43"/>
      <c r="I2" s="43"/>
      <c r="J2" s="43"/>
      <c r="K2" s="44"/>
    </row>
    <row r="3" spans="1:11" s="1" customFormat="1" ht="12.75" customHeight="1">
      <c r="A3" s="45" t="s">
        <v>0</v>
      </c>
      <c r="B3" s="47" t="s">
        <v>10</v>
      </c>
      <c r="C3" s="47" t="s">
        <v>11</v>
      </c>
      <c r="D3" s="49" t="s">
        <v>382</v>
      </c>
      <c r="E3" s="49" t="s">
        <v>7</v>
      </c>
      <c r="F3" s="49" t="s">
        <v>12</v>
      </c>
      <c r="G3" s="49" t="s">
        <v>383</v>
      </c>
      <c r="H3" s="49"/>
      <c r="I3" s="49" t="s">
        <v>381</v>
      </c>
      <c r="J3" s="49" t="s">
        <v>6</v>
      </c>
      <c r="K3" s="37" t="s">
        <v>5</v>
      </c>
    </row>
    <row r="4" spans="1:11" s="1" customFormat="1" ht="21" customHeight="1" thickBot="1">
      <c r="A4" s="46"/>
      <c r="B4" s="48"/>
      <c r="C4" s="48"/>
      <c r="D4" s="48"/>
      <c r="E4" s="48"/>
      <c r="F4" s="48"/>
      <c r="G4" s="7" t="s">
        <v>379</v>
      </c>
      <c r="H4" s="28" t="s">
        <v>380</v>
      </c>
      <c r="I4" s="48"/>
      <c r="J4" s="48"/>
      <c r="K4" s="38"/>
    </row>
    <row r="5" spans="1:10" ht="15">
      <c r="A5" s="53" t="s">
        <v>33</v>
      </c>
      <c r="B5" s="54"/>
      <c r="C5" s="54"/>
      <c r="D5" s="54"/>
      <c r="E5" s="54"/>
      <c r="F5" s="54"/>
      <c r="G5" s="54"/>
      <c r="H5" s="54"/>
      <c r="I5" s="54"/>
      <c r="J5" s="54"/>
    </row>
    <row r="6" spans="1:11" ht="12.75">
      <c r="A6" s="10" t="s">
        <v>35</v>
      </c>
      <c r="B6" s="10" t="s">
        <v>36</v>
      </c>
      <c r="C6" s="10" t="s">
        <v>37</v>
      </c>
      <c r="D6" s="10" t="str">
        <f>"0,9244"</f>
        <v>0,9244</v>
      </c>
      <c r="E6" s="10" t="s">
        <v>27</v>
      </c>
      <c r="F6" s="10" t="s">
        <v>38</v>
      </c>
      <c r="G6" s="12" t="s">
        <v>384</v>
      </c>
      <c r="H6" s="30" t="s">
        <v>385</v>
      </c>
      <c r="I6" s="10" t="str">
        <f>"1260,0"</f>
        <v>1260,0</v>
      </c>
      <c r="J6" s="12" t="str">
        <f>"1164,7440"</f>
        <v>1164,7440</v>
      </c>
      <c r="K6" s="10" t="s">
        <v>32</v>
      </c>
    </row>
    <row r="8" ht="15">
      <c r="E8" s="8" t="s">
        <v>13</v>
      </c>
    </row>
    <row r="9" ht="15">
      <c r="E9" s="8" t="s">
        <v>14</v>
      </c>
    </row>
    <row r="10" ht="15">
      <c r="E10" s="8" t="s">
        <v>15</v>
      </c>
    </row>
    <row r="11" ht="15">
      <c r="E11" s="8" t="s">
        <v>16</v>
      </c>
    </row>
    <row r="12" ht="15">
      <c r="E12" s="8" t="s">
        <v>16</v>
      </c>
    </row>
    <row r="13" ht="15">
      <c r="E13" s="8" t="s">
        <v>17</v>
      </c>
    </row>
    <row r="14" ht="15">
      <c r="E14" s="8"/>
    </row>
    <row r="16" spans="1:2" ht="18">
      <c r="A16" s="9" t="s">
        <v>18</v>
      </c>
      <c r="B16" s="9"/>
    </row>
    <row r="17" spans="1:2" ht="15">
      <c r="A17" s="22" t="s">
        <v>217</v>
      </c>
      <c r="B17" s="22"/>
    </row>
    <row r="18" spans="1:2" ht="14.25">
      <c r="A18" s="24"/>
      <c r="B18" s="25" t="s">
        <v>227</v>
      </c>
    </row>
    <row r="19" spans="1:5" ht="15">
      <c r="A19" s="26" t="s">
        <v>219</v>
      </c>
      <c r="B19" s="26" t="s">
        <v>220</v>
      </c>
      <c r="C19" s="26" t="s">
        <v>221</v>
      </c>
      <c r="D19" s="26" t="s">
        <v>222</v>
      </c>
      <c r="E19" s="26" t="s">
        <v>386</v>
      </c>
    </row>
    <row r="20" spans="1:5" ht="12.75">
      <c r="A20" s="23" t="s">
        <v>34</v>
      </c>
      <c r="B20" s="4" t="s">
        <v>227</v>
      </c>
      <c r="C20" s="4" t="s">
        <v>230</v>
      </c>
      <c r="D20" s="4" t="s">
        <v>387</v>
      </c>
      <c r="E20" s="27" t="s">
        <v>388</v>
      </c>
    </row>
  </sheetData>
  <sheetProtection/>
  <mergeCells count="12">
    <mergeCell ref="I3:I4"/>
    <mergeCell ref="J3:J4"/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A1" sqref="A1:M2"/>
    </sheetView>
  </sheetViews>
  <sheetFormatPr defaultColWidth="9.00390625" defaultRowHeight="12.75"/>
  <cols>
    <col min="1" max="1" width="26.00390625" style="4" bestFit="1" customWidth="1"/>
    <col min="2" max="2" width="28.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37.25390625" style="4" bestFit="1" customWidth="1"/>
    <col min="7" max="9" width="4.625" style="3" bestFit="1" customWidth="1"/>
    <col min="10" max="10" width="4.875" style="3" bestFit="1" customWidth="1"/>
    <col min="11" max="11" width="7.875" style="4" bestFit="1" customWidth="1"/>
    <col min="12" max="12" width="7.625" style="3" bestFit="1" customWidth="1"/>
    <col min="13" max="13" width="11.00390625" style="4" bestFit="1" customWidth="1"/>
    <col min="14" max="16384" width="9.125" style="3" customWidth="1"/>
  </cols>
  <sheetData>
    <row r="1" spans="1:13" s="2" customFormat="1" ht="28.5" customHeight="1">
      <c r="A1" s="52" t="s">
        <v>505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1"/>
    </row>
    <row r="2" spans="1:13" s="2" customFormat="1" ht="61.5" customHeight="1" thickBot="1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4"/>
    </row>
    <row r="3" spans="1:13" s="1" customFormat="1" ht="12.75" customHeight="1">
      <c r="A3" s="45" t="s">
        <v>0</v>
      </c>
      <c r="B3" s="47" t="s">
        <v>10</v>
      </c>
      <c r="C3" s="47" t="s">
        <v>11</v>
      </c>
      <c r="D3" s="49" t="s">
        <v>20</v>
      </c>
      <c r="E3" s="49" t="s">
        <v>7</v>
      </c>
      <c r="F3" s="49" t="s">
        <v>12</v>
      </c>
      <c r="G3" s="49" t="s">
        <v>389</v>
      </c>
      <c r="H3" s="49"/>
      <c r="I3" s="49"/>
      <c r="J3" s="49"/>
      <c r="K3" s="49" t="s">
        <v>19</v>
      </c>
      <c r="L3" s="49" t="s">
        <v>6</v>
      </c>
      <c r="M3" s="37" t="s">
        <v>5</v>
      </c>
    </row>
    <row r="4" spans="1:13" s="1" customFormat="1" ht="21" customHeight="1" thickBot="1">
      <c r="A4" s="46"/>
      <c r="B4" s="48"/>
      <c r="C4" s="48"/>
      <c r="D4" s="48"/>
      <c r="E4" s="48"/>
      <c r="F4" s="48"/>
      <c r="G4" s="7">
        <v>1</v>
      </c>
      <c r="H4" s="7">
        <v>2</v>
      </c>
      <c r="I4" s="7">
        <v>3</v>
      </c>
      <c r="J4" s="7" t="s">
        <v>8</v>
      </c>
      <c r="K4" s="48"/>
      <c r="L4" s="48"/>
      <c r="M4" s="38"/>
    </row>
    <row r="5" spans="1:12" ht="15">
      <c r="A5" s="53" t="s">
        <v>72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3" ht="12.75">
      <c r="A6" s="10" t="s">
        <v>104</v>
      </c>
      <c r="B6" s="10" t="s">
        <v>105</v>
      </c>
      <c r="C6" s="10" t="s">
        <v>106</v>
      </c>
      <c r="D6" s="10" t="str">
        <f>"0,6752"</f>
        <v>0,6752</v>
      </c>
      <c r="E6" s="10" t="s">
        <v>107</v>
      </c>
      <c r="F6" s="10" t="s">
        <v>101</v>
      </c>
      <c r="G6" s="12" t="s">
        <v>29</v>
      </c>
      <c r="H6" s="12" t="s">
        <v>30</v>
      </c>
      <c r="I6" s="12" t="s">
        <v>31</v>
      </c>
      <c r="J6" s="11"/>
      <c r="K6" s="10" t="str">
        <f>"45,0"</f>
        <v>45,0</v>
      </c>
      <c r="L6" s="12" t="str">
        <f>"30,3840"</f>
        <v>30,3840</v>
      </c>
      <c r="M6" s="10" t="s">
        <v>32</v>
      </c>
    </row>
    <row r="8" spans="1:12" ht="15">
      <c r="A8" s="50" t="s">
        <v>119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</row>
    <row r="9" spans="1:13" ht="12.75">
      <c r="A9" s="10" t="s">
        <v>390</v>
      </c>
      <c r="B9" s="10" t="s">
        <v>347</v>
      </c>
      <c r="C9" s="10" t="s">
        <v>348</v>
      </c>
      <c r="D9" s="10" t="str">
        <f>"0,5853"</f>
        <v>0,5853</v>
      </c>
      <c r="E9" s="10" t="s">
        <v>27</v>
      </c>
      <c r="F9" s="10" t="s">
        <v>38</v>
      </c>
      <c r="G9" s="11" t="s">
        <v>41</v>
      </c>
      <c r="H9" s="12" t="s">
        <v>391</v>
      </c>
      <c r="I9" s="12" t="s">
        <v>302</v>
      </c>
      <c r="J9" s="11"/>
      <c r="K9" s="10" t="str">
        <f>"70,0"</f>
        <v>70,0</v>
      </c>
      <c r="L9" s="12" t="str">
        <f>"40,9710"</f>
        <v>40,9710</v>
      </c>
      <c r="M9" s="10" t="s">
        <v>32</v>
      </c>
    </row>
    <row r="11" spans="1:12" ht="15">
      <c r="A11" s="50" t="s">
        <v>143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</row>
    <row r="12" spans="1:13" ht="12.75">
      <c r="A12" s="10" t="s">
        <v>173</v>
      </c>
      <c r="B12" s="10" t="s">
        <v>174</v>
      </c>
      <c r="C12" s="10" t="s">
        <v>153</v>
      </c>
      <c r="D12" s="10" t="str">
        <f>"0,5540"</f>
        <v>0,5540</v>
      </c>
      <c r="E12" s="10" t="s">
        <v>107</v>
      </c>
      <c r="F12" s="10" t="s">
        <v>101</v>
      </c>
      <c r="G12" s="12" t="s">
        <v>392</v>
      </c>
      <c r="H12" s="12" t="s">
        <v>393</v>
      </c>
      <c r="I12" s="11" t="s">
        <v>40</v>
      </c>
      <c r="J12" s="11"/>
      <c r="K12" s="10" t="str">
        <f>"57,5"</f>
        <v>57,5</v>
      </c>
      <c r="L12" s="12" t="str">
        <f>"32,8425"</f>
        <v>32,8425</v>
      </c>
      <c r="M12" s="10" t="s">
        <v>32</v>
      </c>
    </row>
    <row r="14" spans="1:12" ht="15">
      <c r="A14" s="50" t="s">
        <v>199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</row>
    <row r="15" spans="1:13" ht="12.75">
      <c r="A15" s="10" t="s">
        <v>395</v>
      </c>
      <c r="B15" s="10" t="s">
        <v>396</v>
      </c>
      <c r="C15" s="10" t="s">
        <v>203</v>
      </c>
      <c r="D15" s="10" t="str">
        <f>"0,5210"</f>
        <v>0,5210</v>
      </c>
      <c r="E15" s="10" t="s">
        <v>27</v>
      </c>
      <c r="F15" s="10" t="s">
        <v>397</v>
      </c>
      <c r="G15" s="11" t="s">
        <v>398</v>
      </c>
      <c r="H15" s="12" t="s">
        <v>40</v>
      </c>
      <c r="I15" s="12" t="s">
        <v>391</v>
      </c>
      <c r="J15" s="11"/>
      <c r="K15" s="10" t="str">
        <f>"67,5"</f>
        <v>67,5</v>
      </c>
      <c r="L15" s="12" t="str">
        <f>"37,2776"</f>
        <v>37,2776</v>
      </c>
      <c r="M15" s="10" t="s">
        <v>399</v>
      </c>
    </row>
    <row r="17" ht="15">
      <c r="E17" s="8" t="s">
        <v>13</v>
      </c>
    </row>
    <row r="18" ht="15">
      <c r="E18" s="8" t="s">
        <v>14</v>
      </c>
    </row>
    <row r="19" ht="15">
      <c r="E19" s="8" t="s">
        <v>15</v>
      </c>
    </row>
    <row r="20" ht="15">
      <c r="E20" s="8" t="s">
        <v>16</v>
      </c>
    </row>
    <row r="21" ht="15">
      <c r="E21" s="8" t="s">
        <v>16</v>
      </c>
    </row>
    <row r="22" ht="15">
      <c r="E22" s="8" t="s">
        <v>17</v>
      </c>
    </row>
    <row r="23" ht="15">
      <c r="E23" s="8"/>
    </row>
    <row r="25" spans="1:2" ht="18">
      <c r="A25" s="9" t="s">
        <v>18</v>
      </c>
      <c r="B25" s="9"/>
    </row>
    <row r="26" spans="1:2" ht="15">
      <c r="A26" s="22" t="s">
        <v>232</v>
      </c>
      <c r="B26" s="22"/>
    </row>
    <row r="27" spans="1:2" ht="14.25">
      <c r="A27" s="24"/>
      <c r="B27" s="25" t="s">
        <v>233</v>
      </c>
    </row>
    <row r="28" spans="1:5" ht="15">
      <c r="A28" s="26" t="s">
        <v>219</v>
      </c>
      <c r="B28" s="26" t="s">
        <v>220</v>
      </c>
      <c r="C28" s="26" t="s">
        <v>221</v>
      </c>
      <c r="D28" s="26" t="s">
        <v>222</v>
      </c>
      <c r="E28" s="26" t="s">
        <v>223</v>
      </c>
    </row>
    <row r="29" spans="1:5" ht="12.75">
      <c r="A29" s="23" t="s">
        <v>394</v>
      </c>
      <c r="B29" s="4" t="s">
        <v>234</v>
      </c>
      <c r="C29" s="4" t="s">
        <v>235</v>
      </c>
      <c r="D29" s="4" t="s">
        <v>391</v>
      </c>
      <c r="E29" s="27" t="s">
        <v>400</v>
      </c>
    </row>
    <row r="31" spans="1:2" ht="14.25">
      <c r="A31" s="24"/>
      <c r="B31" s="25" t="s">
        <v>227</v>
      </c>
    </row>
    <row r="32" spans="1:5" ht="15">
      <c r="A32" s="26" t="s">
        <v>219</v>
      </c>
      <c r="B32" s="26" t="s">
        <v>220</v>
      </c>
      <c r="C32" s="26" t="s">
        <v>221</v>
      </c>
      <c r="D32" s="26" t="s">
        <v>222</v>
      </c>
      <c r="E32" s="26" t="s">
        <v>223</v>
      </c>
    </row>
    <row r="33" spans="1:5" ht="12.75">
      <c r="A33" s="23" t="s">
        <v>345</v>
      </c>
      <c r="B33" s="4" t="s">
        <v>227</v>
      </c>
      <c r="C33" s="4" t="s">
        <v>237</v>
      </c>
      <c r="D33" s="4" t="s">
        <v>302</v>
      </c>
      <c r="E33" s="27" t="s">
        <v>401</v>
      </c>
    </row>
    <row r="35" spans="1:2" ht="14.25">
      <c r="A35" s="24"/>
      <c r="B35" s="25" t="s">
        <v>264</v>
      </c>
    </row>
    <row r="36" spans="1:5" ht="15">
      <c r="A36" s="26" t="s">
        <v>219</v>
      </c>
      <c r="B36" s="26" t="s">
        <v>220</v>
      </c>
      <c r="C36" s="26" t="s">
        <v>221</v>
      </c>
      <c r="D36" s="26" t="s">
        <v>222</v>
      </c>
      <c r="E36" s="26" t="s">
        <v>223</v>
      </c>
    </row>
    <row r="37" spans="1:5" ht="12.75">
      <c r="A37" s="23" t="s">
        <v>172</v>
      </c>
      <c r="B37" s="4" t="s">
        <v>267</v>
      </c>
      <c r="C37" s="4" t="s">
        <v>250</v>
      </c>
      <c r="D37" s="4" t="s">
        <v>393</v>
      </c>
      <c r="E37" s="27" t="s">
        <v>402</v>
      </c>
    </row>
    <row r="38" spans="1:5" ht="12.75">
      <c r="A38" s="23" t="s">
        <v>103</v>
      </c>
      <c r="B38" s="4" t="s">
        <v>267</v>
      </c>
      <c r="C38" s="4" t="s">
        <v>240</v>
      </c>
      <c r="D38" s="4" t="s">
        <v>31</v>
      </c>
      <c r="E38" s="27" t="s">
        <v>403</v>
      </c>
    </row>
  </sheetData>
  <sheetProtection/>
  <mergeCells count="15">
    <mergeCell ref="A14:L14"/>
    <mergeCell ref="K3:K4"/>
    <mergeCell ref="L3:L4"/>
    <mergeCell ref="M3:M4"/>
    <mergeCell ref="A5:L5"/>
    <mergeCell ref="A8:L8"/>
    <mergeCell ref="A11:L11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9"/>
  <sheetViews>
    <sheetView zoomScalePageLayoutView="0" workbookViewId="0" topLeftCell="A22">
      <selection activeCell="A30" sqref="A30:L30"/>
    </sheetView>
  </sheetViews>
  <sheetFormatPr defaultColWidth="9.00390625" defaultRowHeight="12.75"/>
  <cols>
    <col min="1" max="1" width="26.625" style="4" bestFit="1" customWidth="1"/>
    <col min="2" max="2" width="28.625" style="4" bestFit="1" customWidth="1"/>
    <col min="3" max="3" width="10.625" style="4" bestFit="1" customWidth="1"/>
    <col min="4" max="4" width="9.25390625" style="4" bestFit="1" customWidth="1"/>
    <col min="5" max="5" width="25.25390625" style="4" bestFit="1" customWidth="1"/>
    <col min="6" max="6" width="35.00390625" style="4" bestFit="1" customWidth="1"/>
    <col min="7" max="9" width="5.625" style="3" bestFit="1" customWidth="1"/>
    <col min="10" max="10" width="4.875" style="3" bestFit="1" customWidth="1"/>
    <col min="11" max="11" width="7.875" style="4" bestFit="1" customWidth="1"/>
    <col min="12" max="12" width="8.625" style="3" bestFit="1" customWidth="1"/>
    <col min="13" max="13" width="15.75390625" style="4" bestFit="1" customWidth="1"/>
    <col min="14" max="16384" width="9.125" style="3" customWidth="1"/>
  </cols>
  <sheetData>
    <row r="1" spans="1:13" s="2" customFormat="1" ht="28.5" customHeight="1">
      <c r="A1" s="52" t="s">
        <v>512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1"/>
    </row>
    <row r="2" spans="1:13" s="2" customFormat="1" ht="61.5" customHeight="1" thickBot="1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4"/>
    </row>
    <row r="3" spans="1:13" s="1" customFormat="1" ht="12.75" customHeight="1">
      <c r="A3" s="45" t="s">
        <v>0</v>
      </c>
      <c r="B3" s="47" t="s">
        <v>10</v>
      </c>
      <c r="C3" s="47" t="s">
        <v>11</v>
      </c>
      <c r="D3" s="49" t="s">
        <v>20</v>
      </c>
      <c r="E3" s="49" t="s">
        <v>7</v>
      </c>
      <c r="F3" s="49" t="s">
        <v>12</v>
      </c>
      <c r="G3" s="49" t="s">
        <v>289</v>
      </c>
      <c r="H3" s="49"/>
      <c r="I3" s="49"/>
      <c r="J3" s="49"/>
      <c r="K3" s="49" t="s">
        <v>19</v>
      </c>
      <c r="L3" s="49" t="s">
        <v>6</v>
      </c>
      <c r="M3" s="37" t="s">
        <v>5</v>
      </c>
    </row>
    <row r="4" spans="1:13" s="1" customFormat="1" ht="21" customHeight="1" thickBot="1">
      <c r="A4" s="46"/>
      <c r="B4" s="48"/>
      <c r="C4" s="48"/>
      <c r="D4" s="48"/>
      <c r="E4" s="48"/>
      <c r="F4" s="48"/>
      <c r="G4" s="7">
        <v>1</v>
      </c>
      <c r="H4" s="7">
        <v>2</v>
      </c>
      <c r="I4" s="7">
        <v>3</v>
      </c>
      <c r="J4" s="7" t="s">
        <v>8</v>
      </c>
      <c r="K4" s="48"/>
      <c r="L4" s="48"/>
      <c r="M4" s="38"/>
    </row>
    <row r="5" spans="1:12" ht="15">
      <c r="A5" s="53" t="s">
        <v>22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3" ht="12.75">
      <c r="A6" s="10" t="s">
        <v>291</v>
      </c>
      <c r="B6" s="10" t="s">
        <v>292</v>
      </c>
      <c r="C6" s="10" t="s">
        <v>62</v>
      </c>
      <c r="D6" s="10" t="str">
        <f>"0,9124"</f>
        <v>0,9124</v>
      </c>
      <c r="E6" s="10" t="s">
        <v>27</v>
      </c>
      <c r="F6" s="10" t="s">
        <v>47</v>
      </c>
      <c r="G6" s="12" t="s">
        <v>48</v>
      </c>
      <c r="H6" s="12" t="s">
        <v>293</v>
      </c>
      <c r="I6" s="11" t="s">
        <v>294</v>
      </c>
      <c r="J6" s="11"/>
      <c r="K6" s="10" t="str">
        <f>"92,5"</f>
        <v>92,5</v>
      </c>
      <c r="L6" s="12" t="str">
        <f>"84,3970"</f>
        <v>84,3970</v>
      </c>
      <c r="M6" s="10" t="s">
        <v>295</v>
      </c>
    </row>
    <row r="8" spans="1:12" ht="15">
      <c r="A8" s="50" t="s">
        <v>33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</row>
    <row r="9" spans="1:13" ht="12.75">
      <c r="A9" s="10" t="s">
        <v>297</v>
      </c>
      <c r="B9" s="10" t="s">
        <v>298</v>
      </c>
      <c r="C9" s="10" t="s">
        <v>299</v>
      </c>
      <c r="D9" s="10" t="str">
        <f>"0,8609"</f>
        <v>0,8609</v>
      </c>
      <c r="E9" s="10" t="s">
        <v>27</v>
      </c>
      <c r="F9" s="10" t="s">
        <v>300</v>
      </c>
      <c r="G9" s="12" t="s">
        <v>79</v>
      </c>
      <c r="H9" s="12" t="s">
        <v>301</v>
      </c>
      <c r="I9" s="12" t="s">
        <v>102</v>
      </c>
      <c r="J9" s="11"/>
      <c r="K9" s="10" t="str">
        <f>"100,0"</f>
        <v>100,0</v>
      </c>
      <c r="L9" s="12" t="str">
        <f>"86,0900"</f>
        <v>86,0900</v>
      </c>
      <c r="M9" s="10" t="s">
        <v>32</v>
      </c>
    </row>
    <row r="11" spans="1:12" ht="15">
      <c r="A11" s="50" t="s">
        <v>42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</row>
    <row r="12" spans="1:13" ht="12.75">
      <c r="A12" s="10" t="s">
        <v>44</v>
      </c>
      <c r="B12" s="10" t="s">
        <v>45</v>
      </c>
      <c r="C12" s="10" t="s">
        <v>46</v>
      </c>
      <c r="D12" s="10" t="str">
        <f>"0,8468"</f>
        <v>0,8468</v>
      </c>
      <c r="E12" s="10" t="s">
        <v>27</v>
      </c>
      <c r="F12" s="10" t="s">
        <v>47</v>
      </c>
      <c r="G12" s="12" t="s">
        <v>154</v>
      </c>
      <c r="H12" s="12" t="s">
        <v>140</v>
      </c>
      <c r="I12" s="12" t="s">
        <v>141</v>
      </c>
      <c r="J12" s="11"/>
      <c r="K12" s="10" t="str">
        <f>"160,0"</f>
        <v>160,0</v>
      </c>
      <c r="L12" s="12" t="str">
        <f>"135,4800"</f>
        <v>135,4800</v>
      </c>
      <c r="M12" s="10" t="s">
        <v>50</v>
      </c>
    </row>
    <row r="14" spans="1:12" ht="15">
      <c r="A14" s="50" t="s">
        <v>51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</row>
    <row r="15" spans="1:13" ht="12.75">
      <c r="A15" s="10" t="s">
        <v>53</v>
      </c>
      <c r="B15" s="10" t="s">
        <v>54</v>
      </c>
      <c r="C15" s="10" t="s">
        <v>55</v>
      </c>
      <c r="D15" s="10" t="str">
        <f>"0,9515"</f>
        <v>0,9515</v>
      </c>
      <c r="E15" s="10" t="s">
        <v>56</v>
      </c>
      <c r="F15" s="10" t="s">
        <v>38</v>
      </c>
      <c r="G15" s="12" t="s">
        <v>39</v>
      </c>
      <c r="H15" s="12" t="s">
        <v>302</v>
      </c>
      <c r="I15" s="12" t="s">
        <v>283</v>
      </c>
      <c r="J15" s="11"/>
      <c r="K15" s="10" t="str">
        <f>"77,5"</f>
        <v>77,5</v>
      </c>
      <c r="L15" s="12" t="str">
        <f>"87,0147"</f>
        <v>87,0147</v>
      </c>
      <c r="M15" s="10" t="s">
        <v>58</v>
      </c>
    </row>
    <row r="17" spans="1:12" ht="15">
      <c r="A17" s="50" t="s">
        <v>22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</row>
    <row r="18" spans="1:13" ht="12.75">
      <c r="A18" s="10" t="s">
        <v>60</v>
      </c>
      <c r="B18" s="10" t="s">
        <v>61</v>
      </c>
      <c r="C18" s="10" t="s">
        <v>62</v>
      </c>
      <c r="D18" s="10" t="str">
        <f>"0,8748"</f>
        <v>0,8748</v>
      </c>
      <c r="E18" s="10" t="s">
        <v>63</v>
      </c>
      <c r="F18" s="10" t="s">
        <v>38</v>
      </c>
      <c r="G18" s="12" t="s">
        <v>140</v>
      </c>
      <c r="H18" s="12" t="s">
        <v>141</v>
      </c>
      <c r="I18" s="11" t="s">
        <v>149</v>
      </c>
      <c r="J18" s="11"/>
      <c r="K18" s="10" t="str">
        <f>"160,0"</f>
        <v>160,0</v>
      </c>
      <c r="L18" s="12" t="str">
        <f>"139,9680"</f>
        <v>139,9680</v>
      </c>
      <c r="M18" s="10" t="s">
        <v>58</v>
      </c>
    </row>
    <row r="20" spans="1:12" ht="15">
      <c r="A20" s="50" t="s">
        <v>42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</row>
    <row r="21" spans="1:13" ht="12.75">
      <c r="A21" s="13" t="s">
        <v>304</v>
      </c>
      <c r="B21" s="13" t="s">
        <v>305</v>
      </c>
      <c r="C21" s="13" t="s">
        <v>306</v>
      </c>
      <c r="D21" s="13" t="str">
        <f>"0,7317"</f>
        <v>0,7317</v>
      </c>
      <c r="E21" s="13" t="s">
        <v>27</v>
      </c>
      <c r="F21" s="13" t="s">
        <v>77</v>
      </c>
      <c r="G21" s="15" t="s">
        <v>149</v>
      </c>
      <c r="H21" s="14" t="s">
        <v>179</v>
      </c>
      <c r="I21" s="14"/>
      <c r="J21" s="14"/>
      <c r="K21" s="13" t="str">
        <f>"170,0"</f>
        <v>170,0</v>
      </c>
      <c r="L21" s="15" t="str">
        <f>"124,3890"</f>
        <v>124,3890</v>
      </c>
      <c r="M21" s="13" t="s">
        <v>80</v>
      </c>
    </row>
    <row r="22" spans="1:13" ht="12.75">
      <c r="A22" s="19" t="s">
        <v>308</v>
      </c>
      <c r="B22" s="19" t="s">
        <v>309</v>
      </c>
      <c r="C22" s="19" t="s">
        <v>310</v>
      </c>
      <c r="D22" s="19" t="str">
        <f>"0,7327"</f>
        <v>0,7327</v>
      </c>
      <c r="E22" s="19" t="s">
        <v>27</v>
      </c>
      <c r="F22" s="19" t="s">
        <v>38</v>
      </c>
      <c r="G22" s="21" t="s">
        <v>142</v>
      </c>
      <c r="H22" s="21" t="s">
        <v>311</v>
      </c>
      <c r="I22" s="20" t="s">
        <v>179</v>
      </c>
      <c r="J22" s="20"/>
      <c r="K22" s="19" t="str">
        <f>"175,0"</f>
        <v>175,0</v>
      </c>
      <c r="L22" s="21" t="str">
        <f>"128,2225"</f>
        <v>128,2225</v>
      </c>
      <c r="M22" s="19" t="s">
        <v>32</v>
      </c>
    </row>
    <row r="24" spans="1:12" ht="15">
      <c r="A24" s="50" t="s">
        <v>72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</row>
    <row r="25" spans="1:13" ht="12.75">
      <c r="A25" s="13" t="s">
        <v>313</v>
      </c>
      <c r="B25" s="13" t="s">
        <v>314</v>
      </c>
      <c r="C25" s="13" t="s">
        <v>315</v>
      </c>
      <c r="D25" s="13" t="str">
        <f>"0,7022"</f>
        <v>0,7022</v>
      </c>
      <c r="E25" s="13" t="s">
        <v>27</v>
      </c>
      <c r="F25" s="13" t="s">
        <v>316</v>
      </c>
      <c r="G25" s="15" t="s">
        <v>171</v>
      </c>
      <c r="H25" s="15" t="s">
        <v>141</v>
      </c>
      <c r="I25" s="15" t="s">
        <v>142</v>
      </c>
      <c r="J25" s="14"/>
      <c r="K25" s="13" t="str">
        <f>"165,0"</f>
        <v>165,0</v>
      </c>
      <c r="L25" s="15" t="str">
        <f>"117,0216"</f>
        <v>117,0216</v>
      </c>
      <c r="M25" s="13" t="s">
        <v>32</v>
      </c>
    </row>
    <row r="26" spans="1:13" ht="12.75">
      <c r="A26" s="16" t="s">
        <v>318</v>
      </c>
      <c r="B26" s="16" t="s">
        <v>319</v>
      </c>
      <c r="C26" s="16" t="s">
        <v>320</v>
      </c>
      <c r="D26" s="16" t="str">
        <f>"0,6828"</f>
        <v>0,6828</v>
      </c>
      <c r="E26" s="16" t="s">
        <v>27</v>
      </c>
      <c r="F26" s="16" t="s">
        <v>101</v>
      </c>
      <c r="G26" s="18" t="s">
        <v>180</v>
      </c>
      <c r="H26" s="18" t="s">
        <v>187</v>
      </c>
      <c r="I26" s="18" t="s">
        <v>193</v>
      </c>
      <c r="J26" s="17"/>
      <c r="K26" s="16" t="str">
        <f>"202,5"</f>
        <v>202,5</v>
      </c>
      <c r="L26" s="18" t="str">
        <f>"138,2670"</f>
        <v>138,2670</v>
      </c>
      <c r="M26" s="16" t="s">
        <v>32</v>
      </c>
    </row>
    <row r="27" spans="1:13" ht="12.75">
      <c r="A27" s="16" t="s">
        <v>98</v>
      </c>
      <c r="B27" s="16" t="s">
        <v>99</v>
      </c>
      <c r="C27" s="16" t="s">
        <v>100</v>
      </c>
      <c r="D27" s="16" t="str">
        <f>"0,6645"</f>
        <v>0,6645</v>
      </c>
      <c r="E27" s="16" t="s">
        <v>27</v>
      </c>
      <c r="F27" s="16" t="s">
        <v>101</v>
      </c>
      <c r="G27" s="18" t="s">
        <v>141</v>
      </c>
      <c r="H27" s="18" t="s">
        <v>179</v>
      </c>
      <c r="I27" s="18" t="s">
        <v>321</v>
      </c>
      <c r="J27" s="17"/>
      <c r="K27" s="16" t="str">
        <f>"200,0"</f>
        <v>200,0</v>
      </c>
      <c r="L27" s="18" t="str">
        <f>"132,9000"</f>
        <v>132,9000</v>
      </c>
      <c r="M27" s="16" t="s">
        <v>32</v>
      </c>
    </row>
    <row r="28" spans="1:13" ht="12.75">
      <c r="A28" s="19" t="s">
        <v>322</v>
      </c>
      <c r="B28" s="19" t="s">
        <v>91</v>
      </c>
      <c r="C28" s="19" t="s">
        <v>92</v>
      </c>
      <c r="D28" s="19" t="str">
        <f>"0,6789"</f>
        <v>0,6789</v>
      </c>
      <c r="E28" s="19" t="s">
        <v>27</v>
      </c>
      <c r="F28" s="19" t="s">
        <v>93</v>
      </c>
      <c r="G28" s="21" t="s">
        <v>179</v>
      </c>
      <c r="H28" s="21" t="s">
        <v>180</v>
      </c>
      <c r="I28" s="21" t="s">
        <v>187</v>
      </c>
      <c r="J28" s="20"/>
      <c r="K28" s="19" t="str">
        <f>"195,0"</f>
        <v>195,0</v>
      </c>
      <c r="L28" s="21" t="str">
        <f>"132,3855"</f>
        <v>132,3855</v>
      </c>
      <c r="M28" s="19" t="s">
        <v>32</v>
      </c>
    </row>
    <row r="30" spans="1:12" ht="15">
      <c r="A30" s="50" t="s">
        <v>110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</row>
    <row r="31" spans="1:13" ht="12.75">
      <c r="A31" s="13" t="s">
        <v>324</v>
      </c>
      <c r="B31" s="13" t="s">
        <v>325</v>
      </c>
      <c r="C31" s="13" t="s">
        <v>326</v>
      </c>
      <c r="D31" s="13" t="str">
        <f>"0,6203"</f>
        <v>0,6203</v>
      </c>
      <c r="E31" s="13" t="s">
        <v>27</v>
      </c>
      <c r="F31" s="13" t="s">
        <v>93</v>
      </c>
      <c r="G31" s="15" t="s">
        <v>327</v>
      </c>
      <c r="H31" s="15" t="s">
        <v>321</v>
      </c>
      <c r="I31" s="15" t="s">
        <v>328</v>
      </c>
      <c r="J31" s="14"/>
      <c r="K31" s="13" t="str">
        <f>"210,0"</f>
        <v>210,0</v>
      </c>
      <c r="L31" s="15" t="str">
        <f>"134,1709"</f>
        <v>134,1709</v>
      </c>
      <c r="M31" s="13" t="s">
        <v>32</v>
      </c>
    </row>
    <row r="32" spans="1:13" ht="12.75">
      <c r="A32" s="16" t="s">
        <v>330</v>
      </c>
      <c r="B32" s="16" t="s">
        <v>331</v>
      </c>
      <c r="C32" s="16" t="s">
        <v>332</v>
      </c>
      <c r="D32" s="16" t="str">
        <f>"0,6235"</f>
        <v>0,6235</v>
      </c>
      <c r="E32" s="16" t="s">
        <v>514</v>
      </c>
      <c r="F32" s="16" t="s">
        <v>38</v>
      </c>
      <c r="G32" s="17" t="s">
        <v>327</v>
      </c>
      <c r="H32" s="18" t="s">
        <v>180</v>
      </c>
      <c r="I32" s="17" t="s">
        <v>187</v>
      </c>
      <c r="J32" s="17"/>
      <c r="K32" s="16" t="str">
        <f>"190,0"</f>
        <v>190,0</v>
      </c>
      <c r="L32" s="18" t="str">
        <f>"120,8343"</f>
        <v>120,8343</v>
      </c>
      <c r="M32" s="16" t="s">
        <v>181</v>
      </c>
    </row>
    <row r="33" spans="1:13" ht="12.75">
      <c r="A33" s="16" t="s">
        <v>334</v>
      </c>
      <c r="B33" s="16" t="s">
        <v>335</v>
      </c>
      <c r="C33" s="16" t="s">
        <v>332</v>
      </c>
      <c r="D33" s="16" t="str">
        <f>"0,6235"</f>
        <v>0,6235</v>
      </c>
      <c r="E33" s="16" t="s">
        <v>27</v>
      </c>
      <c r="F33" s="16" t="s">
        <v>300</v>
      </c>
      <c r="G33" s="18" t="s">
        <v>336</v>
      </c>
      <c r="H33" s="18" t="s">
        <v>337</v>
      </c>
      <c r="I33" s="17" t="s">
        <v>338</v>
      </c>
      <c r="J33" s="17"/>
      <c r="K33" s="16" t="str">
        <f>"230,0"</f>
        <v>230,0</v>
      </c>
      <c r="L33" s="18" t="str">
        <f>"143,4050"</f>
        <v>143,4050</v>
      </c>
      <c r="M33" s="16" t="s">
        <v>32</v>
      </c>
    </row>
    <row r="34" spans="1:13" ht="12.75">
      <c r="A34" s="19" t="s">
        <v>340</v>
      </c>
      <c r="B34" s="19" t="s">
        <v>341</v>
      </c>
      <c r="C34" s="19" t="s">
        <v>342</v>
      </c>
      <c r="D34" s="19" t="str">
        <f>"0,6318"</f>
        <v>0,6318</v>
      </c>
      <c r="E34" s="19" t="s">
        <v>56</v>
      </c>
      <c r="F34" s="19" t="s">
        <v>38</v>
      </c>
      <c r="G34" s="21" t="s">
        <v>171</v>
      </c>
      <c r="H34" s="20" t="s">
        <v>118</v>
      </c>
      <c r="I34" s="20" t="s">
        <v>118</v>
      </c>
      <c r="J34" s="20"/>
      <c r="K34" s="19" t="str">
        <f>"145,0"</f>
        <v>145,0</v>
      </c>
      <c r="L34" s="21" t="str">
        <f>"184,1381"</f>
        <v>184,1381</v>
      </c>
      <c r="M34" s="19" t="s">
        <v>32</v>
      </c>
    </row>
    <row r="36" spans="1:12" ht="15">
      <c r="A36" s="50" t="s">
        <v>119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</row>
    <row r="37" spans="1:13" ht="12.75">
      <c r="A37" s="13" t="s">
        <v>343</v>
      </c>
      <c r="B37" s="13" t="s">
        <v>133</v>
      </c>
      <c r="C37" s="13" t="s">
        <v>134</v>
      </c>
      <c r="D37" s="13" t="str">
        <f>"0,5935"</f>
        <v>0,5935</v>
      </c>
      <c r="E37" s="13" t="s">
        <v>27</v>
      </c>
      <c r="F37" s="13" t="s">
        <v>101</v>
      </c>
      <c r="G37" s="15" t="s">
        <v>321</v>
      </c>
      <c r="H37" s="15" t="s">
        <v>328</v>
      </c>
      <c r="I37" s="15" t="s">
        <v>344</v>
      </c>
      <c r="J37" s="14"/>
      <c r="K37" s="13" t="str">
        <f>"220,0"</f>
        <v>220,0</v>
      </c>
      <c r="L37" s="15" t="str">
        <f>"130,5700"</f>
        <v>130,5700</v>
      </c>
      <c r="M37" s="13" t="s">
        <v>135</v>
      </c>
    </row>
    <row r="38" spans="1:13" ht="12.75">
      <c r="A38" s="19" t="s">
        <v>346</v>
      </c>
      <c r="B38" s="19" t="s">
        <v>347</v>
      </c>
      <c r="C38" s="19" t="s">
        <v>348</v>
      </c>
      <c r="D38" s="19" t="str">
        <f>"0,5853"</f>
        <v>0,5853</v>
      </c>
      <c r="E38" s="19" t="s">
        <v>27</v>
      </c>
      <c r="F38" s="19" t="s">
        <v>38</v>
      </c>
      <c r="G38" s="20" t="s">
        <v>349</v>
      </c>
      <c r="H38" s="20" t="s">
        <v>349</v>
      </c>
      <c r="I38" s="20"/>
      <c r="J38" s="20"/>
      <c r="K38" s="19" t="str">
        <f>"0.00"</f>
        <v>0.00</v>
      </c>
      <c r="L38" s="21" t="str">
        <f>"0,0000"</f>
        <v>0,0000</v>
      </c>
      <c r="M38" s="19" t="s">
        <v>32</v>
      </c>
    </row>
    <row r="40" spans="1:12" ht="15">
      <c r="A40" s="50" t="s">
        <v>143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</row>
    <row r="41" spans="1:13" ht="12.75">
      <c r="A41" s="13" t="s">
        <v>350</v>
      </c>
      <c r="B41" s="13" t="s">
        <v>152</v>
      </c>
      <c r="C41" s="13" t="s">
        <v>153</v>
      </c>
      <c r="D41" s="13" t="str">
        <f>"0,5540"</f>
        <v>0,5540</v>
      </c>
      <c r="E41" s="13" t="s">
        <v>27</v>
      </c>
      <c r="F41" s="13" t="s">
        <v>47</v>
      </c>
      <c r="G41" s="15" t="s">
        <v>338</v>
      </c>
      <c r="H41" s="15" t="s">
        <v>349</v>
      </c>
      <c r="I41" s="15" t="s">
        <v>351</v>
      </c>
      <c r="J41" s="14"/>
      <c r="K41" s="13" t="str">
        <f>"270,0"</f>
        <v>270,0</v>
      </c>
      <c r="L41" s="15" t="str">
        <f>"149,5800"</f>
        <v>149,5800</v>
      </c>
      <c r="M41" s="13" t="s">
        <v>32</v>
      </c>
    </row>
    <row r="42" spans="1:13" ht="12.75">
      <c r="A42" s="16" t="s">
        <v>353</v>
      </c>
      <c r="B42" s="16" t="s">
        <v>354</v>
      </c>
      <c r="C42" s="16" t="s">
        <v>153</v>
      </c>
      <c r="D42" s="16" t="str">
        <f>"0,5540"</f>
        <v>0,5540</v>
      </c>
      <c r="E42" s="16" t="s">
        <v>27</v>
      </c>
      <c r="F42" s="16" t="s">
        <v>38</v>
      </c>
      <c r="G42" s="18" t="s">
        <v>338</v>
      </c>
      <c r="H42" s="18" t="s">
        <v>349</v>
      </c>
      <c r="I42" s="17" t="s">
        <v>355</v>
      </c>
      <c r="J42" s="17"/>
      <c r="K42" s="16" t="str">
        <f>"255,0"</f>
        <v>255,0</v>
      </c>
      <c r="L42" s="18" t="str">
        <f>"141,2700"</f>
        <v>141,2700</v>
      </c>
      <c r="M42" s="16" t="s">
        <v>32</v>
      </c>
    </row>
    <row r="43" spans="1:13" ht="12.75">
      <c r="A43" s="19" t="s">
        <v>356</v>
      </c>
      <c r="B43" s="19" t="s">
        <v>169</v>
      </c>
      <c r="C43" s="19" t="s">
        <v>170</v>
      </c>
      <c r="D43" s="19" t="str">
        <f>"0,5678"</f>
        <v>0,5678</v>
      </c>
      <c r="E43" s="19" t="s">
        <v>27</v>
      </c>
      <c r="F43" s="19" t="s">
        <v>101</v>
      </c>
      <c r="G43" s="21" t="s">
        <v>321</v>
      </c>
      <c r="H43" s="21" t="s">
        <v>188</v>
      </c>
      <c r="I43" s="20" t="s">
        <v>328</v>
      </c>
      <c r="J43" s="20"/>
      <c r="K43" s="19" t="str">
        <f>"205,0"</f>
        <v>205,0</v>
      </c>
      <c r="L43" s="21" t="str">
        <f>"116,3990"</f>
        <v>116,3990</v>
      </c>
      <c r="M43" s="19" t="s">
        <v>32</v>
      </c>
    </row>
    <row r="45" ht="15">
      <c r="E45" s="8" t="s">
        <v>13</v>
      </c>
    </row>
    <row r="46" ht="15">
      <c r="E46" s="8" t="s">
        <v>14</v>
      </c>
    </row>
    <row r="47" ht="15">
      <c r="E47" s="8" t="s">
        <v>15</v>
      </c>
    </row>
    <row r="48" ht="15">
      <c r="E48" s="8" t="s">
        <v>16</v>
      </c>
    </row>
    <row r="49" ht="15">
      <c r="E49" s="8" t="s">
        <v>16</v>
      </c>
    </row>
    <row r="50" ht="15">
      <c r="E50" s="8" t="s">
        <v>17</v>
      </c>
    </row>
    <row r="51" ht="15">
      <c r="E51" s="8"/>
    </row>
    <row r="53" spans="1:2" ht="18">
      <c r="A53" s="9" t="s">
        <v>18</v>
      </c>
      <c r="B53" s="9"/>
    </row>
    <row r="54" spans="1:2" ht="15">
      <c r="A54" s="22" t="s">
        <v>217</v>
      </c>
      <c r="B54" s="22"/>
    </row>
    <row r="55" spans="1:2" ht="14.25">
      <c r="A55" s="24"/>
      <c r="B55" s="25" t="s">
        <v>227</v>
      </c>
    </row>
    <row r="56" spans="1:5" ht="15">
      <c r="A56" s="26" t="s">
        <v>219</v>
      </c>
      <c r="B56" s="26" t="s">
        <v>220</v>
      </c>
      <c r="C56" s="26" t="s">
        <v>221</v>
      </c>
      <c r="D56" s="26" t="s">
        <v>222</v>
      </c>
      <c r="E56" s="26" t="s">
        <v>223</v>
      </c>
    </row>
    <row r="57" spans="1:5" ht="12.75">
      <c r="A57" s="23" t="s">
        <v>43</v>
      </c>
      <c r="B57" s="4" t="s">
        <v>227</v>
      </c>
      <c r="C57" s="4" t="s">
        <v>228</v>
      </c>
      <c r="D57" s="4" t="s">
        <v>141</v>
      </c>
      <c r="E57" s="27" t="s">
        <v>357</v>
      </c>
    </row>
    <row r="58" spans="1:5" ht="12.75">
      <c r="A58" s="23" t="s">
        <v>296</v>
      </c>
      <c r="B58" s="4" t="s">
        <v>227</v>
      </c>
      <c r="C58" s="4" t="s">
        <v>230</v>
      </c>
      <c r="D58" s="4" t="s">
        <v>102</v>
      </c>
      <c r="E58" s="27" t="s">
        <v>358</v>
      </c>
    </row>
    <row r="59" spans="1:5" ht="12.75">
      <c r="A59" s="23" t="s">
        <v>290</v>
      </c>
      <c r="B59" s="4" t="s">
        <v>227</v>
      </c>
      <c r="C59" s="4" t="s">
        <v>225</v>
      </c>
      <c r="D59" s="4" t="s">
        <v>293</v>
      </c>
      <c r="E59" s="27" t="s">
        <v>359</v>
      </c>
    </row>
    <row r="62" spans="1:2" ht="15">
      <c r="A62" s="22" t="s">
        <v>232</v>
      </c>
      <c r="B62" s="22"/>
    </row>
    <row r="63" spans="1:2" ht="14.25">
      <c r="A63" s="24"/>
      <c r="B63" s="25" t="s">
        <v>233</v>
      </c>
    </row>
    <row r="64" spans="1:5" ht="15">
      <c r="A64" s="26" t="s">
        <v>219</v>
      </c>
      <c r="B64" s="26" t="s">
        <v>220</v>
      </c>
      <c r="C64" s="26" t="s">
        <v>221</v>
      </c>
      <c r="D64" s="26" t="s">
        <v>222</v>
      </c>
      <c r="E64" s="26" t="s">
        <v>223</v>
      </c>
    </row>
    <row r="65" spans="1:5" ht="12.75">
      <c r="A65" s="23" t="s">
        <v>52</v>
      </c>
      <c r="B65" s="4" t="s">
        <v>239</v>
      </c>
      <c r="C65" s="4" t="s">
        <v>243</v>
      </c>
      <c r="D65" s="4" t="s">
        <v>283</v>
      </c>
      <c r="E65" s="27" t="s">
        <v>360</v>
      </c>
    </row>
    <row r="67" spans="1:2" ht="14.25">
      <c r="A67" s="24"/>
      <c r="B67" s="25" t="s">
        <v>361</v>
      </c>
    </row>
    <row r="68" spans="1:5" ht="15">
      <c r="A68" s="26" t="s">
        <v>219</v>
      </c>
      <c r="B68" s="26" t="s">
        <v>220</v>
      </c>
      <c r="C68" s="26" t="s">
        <v>221</v>
      </c>
      <c r="D68" s="26" t="s">
        <v>222</v>
      </c>
      <c r="E68" s="26" t="s">
        <v>223</v>
      </c>
    </row>
    <row r="69" spans="1:5" ht="12.75">
      <c r="A69" s="23" t="s">
        <v>323</v>
      </c>
      <c r="B69" s="4" t="s">
        <v>362</v>
      </c>
      <c r="C69" s="4" t="s">
        <v>252</v>
      </c>
      <c r="D69" s="4" t="s">
        <v>328</v>
      </c>
      <c r="E69" s="27" t="s">
        <v>363</v>
      </c>
    </row>
    <row r="70" spans="1:5" ht="12.75">
      <c r="A70" s="23" t="s">
        <v>303</v>
      </c>
      <c r="B70" s="4" t="s">
        <v>362</v>
      </c>
      <c r="C70" s="4" t="s">
        <v>228</v>
      </c>
      <c r="D70" s="4" t="s">
        <v>149</v>
      </c>
      <c r="E70" s="27" t="s">
        <v>364</v>
      </c>
    </row>
    <row r="71" spans="1:5" ht="12.75">
      <c r="A71" s="23" t="s">
        <v>329</v>
      </c>
      <c r="B71" s="4" t="s">
        <v>362</v>
      </c>
      <c r="C71" s="4" t="s">
        <v>252</v>
      </c>
      <c r="D71" s="4" t="s">
        <v>180</v>
      </c>
      <c r="E71" s="27" t="s">
        <v>365</v>
      </c>
    </row>
    <row r="72" spans="1:5" ht="12.75">
      <c r="A72" s="23" t="s">
        <v>312</v>
      </c>
      <c r="B72" s="4" t="s">
        <v>362</v>
      </c>
      <c r="C72" s="4" t="s">
        <v>240</v>
      </c>
      <c r="D72" s="4" t="s">
        <v>142</v>
      </c>
      <c r="E72" s="27" t="s">
        <v>366</v>
      </c>
    </row>
    <row r="74" spans="1:2" ht="14.25">
      <c r="A74" s="24"/>
      <c r="B74" s="25" t="s">
        <v>227</v>
      </c>
    </row>
    <row r="75" spans="1:5" ht="15">
      <c r="A75" s="26" t="s">
        <v>219</v>
      </c>
      <c r="B75" s="26" t="s">
        <v>220</v>
      </c>
      <c r="C75" s="26" t="s">
        <v>221</v>
      </c>
      <c r="D75" s="26" t="s">
        <v>222</v>
      </c>
      <c r="E75" s="26" t="s">
        <v>223</v>
      </c>
    </row>
    <row r="76" spans="1:5" ht="12.75">
      <c r="A76" s="23" t="s">
        <v>150</v>
      </c>
      <c r="B76" s="4" t="s">
        <v>227</v>
      </c>
      <c r="C76" s="4" t="s">
        <v>250</v>
      </c>
      <c r="D76" s="4" t="s">
        <v>351</v>
      </c>
      <c r="E76" s="27" t="s">
        <v>367</v>
      </c>
    </row>
    <row r="77" spans="1:5" ht="12.75">
      <c r="A77" s="23" t="s">
        <v>333</v>
      </c>
      <c r="B77" s="4" t="s">
        <v>227</v>
      </c>
      <c r="C77" s="4" t="s">
        <v>252</v>
      </c>
      <c r="D77" s="4" t="s">
        <v>337</v>
      </c>
      <c r="E77" s="27" t="s">
        <v>368</v>
      </c>
    </row>
    <row r="78" spans="1:5" ht="12.75">
      <c r="A78" s="23" t="s">
        <v>352</v>
      </c>
      <c r="B78" s="4" t="s">
        <v>227</v>
      </c>
      <c r="C78" s="4" t="s">
        <v>250</v>
      </c>
      <c r="D78" s="4" t="s">
        <v>349</v>
      </c>
      <c r="E78" s="27" t="s">
        <v>369</v>
      </c>
    </row>
    <row r="79" spans="1:5" ht="12.75">
      <c r="A79" s="23" t="s">
        <v>59</v>
      </c>
      <c r="B79" s="4" t="s">
        <v>227</v>
      </c>
      <c r="C79" s="4" t="s">
        <v>225</v>
      </c>
      <c r="D79" s="4" t="s">
        <v>141</v>
      </c>
      <c r="E79" s="27" t="s">
        <v>370</v>
      </c>
    </row>
    <row r="80" spans="1:5" ht="12.75">
      <c r="A80" s="23" t="s">
        <v>317</v>
      </c>
      <c r="B80" s="4" t="s">
        <v>227</v>
      </c>
      <c r="C80" s="4" t="s">
        <v>240</v>
      </c>
      <c r="D80" s="4" t="s">
        <v>193</v>
      </c>
      <c r="E80" s="27" t="s">
        <v>371</v>
      </c>
    </row>
    <row r="81" spans="1:5" ht="12.75">
      <c r="A81" s="23" t="s">
        <v>97</v>
      </c>
      <c r="B81" s="4" t="s">
        <v>227</v>
      </c>
      <c r="C81" s="4" t="s">
        <v>240</v>
      </c>
      <c r="D81" s="4" t="s">
        <v>321</v>
      </c>
      <c r="E81" s="27" t="s">
        <v>372</v>
      </c>
    </row>
    <row r="82" spans="1:5" ht="12.75">
      <c r="A82" s="23" t="s">
        <v>89</v>
      </c>
      <c r="B82" s="4" t="s">
        <v>227</v>
      </c>
      <c r="C82" s="4" t="s">
        <v>240</v>
      </c>
      <c r="D82" s="4" t="s">
        <v>187</v>
      </c>
      <c r="E82" s="27" t="s">
        <v>373</v>
      </c>
    </row>
    <row r="83" spans="1:5" ht="12.75">
      <c r="A83" s="23" t="s">
        <v>131</v>
      </c>
      <c r="B83" s="4" t="s">
        <v>227</v>
      </c>
      <c r="C83" s="4" t="s">
        <v>237</v>
      </c>
      <c r="D83" s="4" t="s">
        <v>344</v>
      </c>
      <c r="E83" s="27" t="s">
        <v>374</v>
      </c>
    </row>
    <row r="84" spans="1:5" ht="12.75">
      <c r="A84" s="23" t="s">
        <v>307</v>
      </c>
      <c r="B84" s="4" t="s">
        <v>227</v>
      </c>
      <c r="C84" s="4" t="s">
        <v>228</v>
      </c>
      <c r="D84" s="4" t="s">
        <v>311</v>
      </c>
      <c r="E84" s="27" t="s">
        <v>375</v>
      </c>
    </row>
    <row r="85" spans="1:5" ht="12.75">
      <c r="A85" s="23" t="s">
        <v>167</v>
      </c>
      <c r="B85" s="4" t="s">
        <v>227</v>
      </c>
      <c r="C85" s="4" t="s">
        <v>250</v>
      </c>
      <c r="D85" s="4" t="s">
        <v>188</v>
      </c>
      <c r="E85" s="27" t="s">
        <v>376</v>
      </c>
    </row>
    <row r="87" spans="1:2" ht="14.25">
      <c r="A87" s="24"/>
      <c r="B87" s="25" t="s">
        <v>264</v>
      </c>
    </row>
    <row r="88" spans="1:5" ht="15">
      <c r="A88" s="26" t="s">
        <v>219</v>
      </c>
      <c r="B88" s="26" t="s">
        <v>220</v>
      </c>
      <c r="C88" s="26" t="s">
        <v>221</v>
      </c>
      <c r="D88" s="26" t="s">
        <v>222</v>
      </c>
      <c r="E88" s="26" t="s">
        <v>223</v>
      </c>
    </row>
    <row r="89" spans="1:5" ht="12.75">
      <c r="A89" s="23" t="s">
        <v>339</v>
      </c>
      <c r="B89" s="4" t="s">
        <v>377</v>
      </c>
      <c r="C89" s="4" t="s">
        <v>252</v>
      </c>
      <c r="D89" s="4" t="s">
        <v>171</v>
      </c>
      <c r="E89" s="27" t="s">
        <v>378</v>
      </c>
    </row>
  </sheetData>
  <sheetProtection/>
  <mergeCells count="21">
    <mergeCell ref="A40:L40"/>
    <mergeCell ref="A14:L14"/>
    <mergeCell ref="A17:L17"/>
    <mergeCell ref="A20:L20"/>
    <mergeCell ref="A24:L24"/>
    <mergeCell ref="A30:L30"/>
    <mergeCell ref="A36:L36"/>
    <mergeCell ref="A11:L11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  <mergeCell ref="A8:L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selection activeCell="B18" sqref="B18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32.375" style="4" bestFit="1" customWidth="1"/>
    <col min="7" max="9" width="5.625" style="3" bestFit="1" customWidth="1"/>
    <col min="10" max="10" width="4.875" style="3" bestFit="1" customWidth="1"/>
    <col min="11" max="11" width="7.875" style="4" bestFit="1" customWidth="1"/>
    <col min="12" max="12" width="8.625" style="3" bestFit="1" customWidth="1"/>
    <col min="13" max="13" width="10.75390625" style="4" bestFit="1" customWidth="1"/>
    <col min="14" max="16384" width="9.125" style="3" customWidth="1"/>
  </cols>
  <sheetData>
    <row r="1" spans="1:13" s="2" customFormat="1" ht="28.5" customHeight="1">
      <c r="A1" s="52" t="s">
        <v>511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1"/>
    </row>
    <row r="2" spans="1:13" s="2" customFormat="1" ht="61.5" customHeight="1" thickBot="1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4"/>
    </row>
    <row r="3" spans="1:13" s="1" customFormat="1" ht="12.75" customHeight="1">
      <c r="A3" s="45" t="s">
        <v>0</v>
      </c>
      <c r="B3" s="47" t="s">
        <v>10</v>
      </c>
      <c r="C3" s="47" t="s">
        <v>11</v>
      </c>
      <c r="D3" s="49" t="s">
        <v>20</v>
      </c>
      <c r="E3" s="49" t="s">
        <v>7</v>
      </c>
      <c r="F3" s="49" t="s">
        <v>12</v>
      </c>
      <c r="G3" s="49" t="s">
        <v>21</v>
      </c>
      <c r="H3" s="49"/>
      <c r="I3" s="49"/>
      <c r="J3" s="49"/>
      <c r="K3" s="49" t="s">
        <v>19</v>
      </c>
      <c r="L3" s="49" t="s">
        <v>6</v>
      </c>
      <c r="M3" s="37" t="s">
        <v>5</v>
      </c>
    </row>
    <row r="4" spans="1:13" s="1" customFormat="1" ht="21" customHeight="1" thickBot="1">
      <c r="A4" s="46"/>
      <c r="B4" s="48"/>
      <c r="C4" s="48"/>
      <c r="D4" s="48"/>
      <c r="E4" s="48"/>
      <c r="F4" s="48"/>
      <c r="G4" s="7">
        <v>1</v>
      </c>
      <c r="H4" s="7">
        <v>2</v>
      </c>
      <c r="I4" s="7">
        <v>3</v>
      </c>
      <c r="J4" s="7" t="s">
        <v>8</v>
      </c>
      <c r="K4" s="48"/>
      <c r="L4" s="48"/>
      <c r="M4" s="38"/>
    </row>
    <row r="5" spans="1:12" ht="15">
      <c r="A5" s="53" t="s">
        <v>51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3" ht="12.75">
      <c r="A6" s="10" t="s">
        <v>275</v>
      </c>
      <c r="B6" s="10" t="s">
        <v>276</v>
      </c>
      <c r="C6" s="10" t="s">
        <v>55</v>
      </c>
      <c r="D6" s="10" t="str">
        <f>"0,9693"</f>
        <v>0,9693</v>
      </c>
      <c r="E6" s="10" t="s">
        <v>27</v>
      </c>
      <c r="F6" s="10" t="s">
        <v>38</v>
      </c>
      <c r="G6" s="12" t="s">
        <v>41</v>
      </c>
      <c r="H6" s="11" t="s">
        <v>277</v>
      </c>
      <c r="I6" s="12" t="s">
        <v>277</v>
      </c>
      <c r="J6" s="11"/>
      <c r="K6" s="10" t="str">
        <f>"72,5"</f>
        <v>72,5</v>
      </c>
      <c r="L6" s="12" t="str">
        <f>"70,2779"</f>
        <v>70,2779</v>
      </c>
      <c r="M6" s="10" t="s">
        <v>278</v>
      </c>
    </row>
    <row r="8" spans="1:12" ht="15">
      <c r="A8" s="50" t="s">
        <v>22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</row>
    <row r="9" spans="1:13" ht="12.75">
      <c r="A9" s="10" t="s">
        <v>280</v>
      </c>
      <c r="B9" s="10" t="s">
        <v>281</v>
      </c>
      <c r="C9" s="10" t="s">
        <v>282</v>
      </c>
      <c r="D9" s="10" t="str">
        <f>"0,9187"</f>
        <v>0,9187</v>
      </c>
      <c r="E9" s="10" t="s">
        <v>27</v>
      </c>
      <c r="F9" s="10" t="s">
        <v>38</v>
      </c>
      <c r="G9" s="12" t="s">
        <v>41</v>
      </c>
      <c r="H9" s="12" t="s">
        <v>277</v>
      </c>
      <c r="I9" s="11" t="s">
        <v>283</v>
      </c>
      <c r="J9" s="11"/>
      <c r="K9" s="10" t="str">
        <f>"72,5"</f>
        <v>72,5</v>
      </c>
      <c r="L9" s="12" t="str">
        <f>"66,6057"</f>
        <v>66,6057</v>
      </c>
      <c r="M9" s="10" t="s">
        <v>278</v>
      </c>
    </row>
    <row r="11" spans="1:12" ht="15">
      <c r="A11" s="50" t="s">
        <v>182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</row>
    <row r="12" spans="1:13" ht="12.75">
      <c r="A12" s="10" t="s">
        <v>184</v>
      </c>
      <c r="B12" s="10" t="s">
        <v>185</v>
      </c>
      <c r="C12" s="10" t="s">
        <v>186</v>
      </c>
      <c r="D12" s="10" t="str">
        <f>"0,5365"</f>
        <v>0,5365</v>
      </c>
      <c r="E12" s="10" t="s">
        <v>56</v>
      </c>
      <c r="F12" s="10" t="s">
        <v>85</v>
      </c>
      <c r="G12" s="12" t="s">
        <v>284</v>
      </c>
      <c r="H12" s="11" t="s">
        <v>285</v>
      </c>
      <c r="I12" s="12" t="s">
        <v>285</v>
      </c>
      <c r="J12" s="11"/>
      <c r="K12" s="10" t="str">
        <f>"350,0"</f>
        <v>350,0</v>
      </c>
      <c r="L12" s="12" t="str">
        <f>"187,7750"</f>
        <v>187,7750</v>
      </c>
      <c r="M12" s="10" t="s">
        <v>32</v>
      </c>
    </row>
    <row r="14" ht="15">
      <c r="E14" s="8" t="s">
        <v>13</v>
      </c>
    </row>
    <row r="15" ht="15">
      <c r="E15" s="8" t="s">
        <v>14</v>
      </c>
    </row>
    <row r="16" ht="15">
      <c r="E16" s="8" t="s">
        <v>15</v>
      </c>
    </row>
    <row r="17" ht="15">
      <c r="E17" s="8" t="s">
        <v>16</v>
      </c>
    </row>
    <row r="18" ht="15">
      <c r="E18" s="8" t="s">
        <v>16</v>
      </c>
    </row>
    <row r="19" ht="15">
      <c r="E19" s="8" t="s">
        <v>17</v>
      </c>
    </row>
    <row r="20" ht="15">
      <c r="E20" s="8"/>
    </row>
    <row r="22" spans="1:2" ht="18">
      <c r="A22" s="9" t="s">
        <v>18</v>
      </c>
      <c r="B22" s="9"/>
    </row>
    <row r="23" spans="1:2" ht="15">
      <c r="A23" s="22" t="s">
        <v>217</v>
      </c>
      <c r="B23" s="22"/>
    </row>
    <row r="24" spans="1:2" ht="14.25">
      <c r="A24" s="24"/>
      <c r="B24" s="25" t="s">
        <v>227</v>
      </c>
    </row>
    <row r="25" spans="1:5" ht="15">
      <c r="A25" s="26" t="s">
        <v>219</v>
      </c>
      <c r="B25" s="26" t="s">
        <v>220</v>
      </c>
      <c r="C25" s="26" t="s">
        <v>221</v>
      </c>
      <c r="D25" s="26" t="s">
        <v>222</v>
      </c>
      <c r="E25" s="26" t="s">
        <v>223</v>
      </c>
    </row>
    <row r="26" spans="1:5" ht="12.75">
      <c r="A26" s="23" t="s">
        <v>274</v>
      </c>
      <c r="B26" s="4" t="s">
        <v>227</v>
      </c>
      <c r="C26" s="4" t="s">
        <v>243</v>
      </c>
      <c r="D26" s="4" t="s">
        <v>277</v>
      </c>
      <c r="E26" s="27" t="s">
        <v>286</v>
      </c>
    </row>
    <row r="27" spans="1:5" ht="12.75">
      <c r="A27" s="23" t="s">
        <v>279</v>
      </c>
      <c r="B27" s="4" t="s">
        <v>227</v>
      </c>
      <c r="C27" s="4" t="s">
        <v>225</v>
      </c>
      <c r="D27" s="4" t="s">
        <v>277</v>
      </c>
      <c r="E27" s="27" t="s">
        <v>287</v>
      </c>
    </row>
    <row r="30" spans="1:2" ht="15">
      <c r="A30" s="22" t="s">
        <v>232</v>
      </c>
      <c r="B30" s="22"/>
    </row>
    <row r="31" spans="1:2" ht="14.25">
      <c r="A31" s="24"/>
      <c r="B31" s="25" t="s">
        <v>227</v>
      </c>
    </row>
    <row r="32" spans="1:5" ht="15">
      <c r="A32" s="26" t="s">
        <v>219</v>
      </c>
      <c r="B32" s="26" t="s">
        <v>220</v>
      </c>
      <c r="C32" s="26" t="s">
        <v>221</v>
      </c>
      <c r="D32" s="26" t="s">
        <v>222</v>
      </c>
      <c r="E32" s="26" t="s">
        <v>223</v>
      </c>
    </row>
    <row r="33" spans="1:5" ht="12.75">
      <c r="A33" s="23" t="s">
        <v>183</v>
      </c>
      <c r="B33" s="4" t="s">
        <v>227</v>
      </c>
      <c r="C33" s="4" t="s">
        <v>245</v>
      </c>
      <c r="D33" s="4" t="s">
        <v>285</v>
      </c>
      <c r="E33" s="27" t="s">
        <v>288</v>
      </c>
    </row>
  </sheetData>
  <sheetProtection/>
  <mergeCells count="14">
    <mergeCell ref="A11:L11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  <mergeCell ref="A8:L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15"/>
  <sheetViews>
    <sheetView tabSelected="1" zoomScalePageLayoutView="0" workbookViewId="0" topLeftCell="A1">
      <selection activeCell="C62" sqref="C62"/>
    </sheetView>
  </sheetViews>
  <sheetFormatPr defaultColWidth="9.00390625" defaultRowHeight="12.75"/>
  <cols>
    <col min="1" max="1" width="26.00390625" style="4" bestFit="1" customWidth="1"/>
    <col min="2" max="2" width="29.00390625" style="4" bestFit="1" customWidth="1"/>
    <col min="3" max="3" width="10.625" style="4" bestFit="1" customWidth="1"/>
    <col min="4" max="4" width="9.25390625" style="4" bestFit="1" customWidth="1"/>
    <col min="5" max="5" width="25.25390625" style="4" bestFit="1" customWidth="1"/>
    <col min="6" max="6" width="38.25390625" style="4" bestFit="1" customWidth="1"/>
    <col min="7" max="9" width="5.625" style="3" bestFit="1" customWidth="1"/>
    <col min="10" max="10" width="4.875" style="3" bestFit="1" customWidth="1"/>
    <col min="11" max="11" width="7.875" style="4" bestFit="1" customWidth="1"/>
    <col min="12" max="12" width="8.625" style="3" bestFit="1" customWidth="1"/>
    <col min="13" max="13" width="15.75390625" style="4" bestFit="1" customWidth="1"/>
    <col min="14" max="16384" width="9.125" style="3" customWidth="1"/>
  </cols>
  <sheetData>
    <row r="1" spans="1:13" s="2" customFormat="1" ht="28.5" customHeight="1">
      <c r="A1" s="52" t="s">
        <v>510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1"/>
    </row>
    <row r="2" spans="1:13" s="2" customFormat="1" ht="61.5" customHeight="1" thickBot="1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4"/>
    </row>
    <row r="3" spans="1:13" s="1" customFormat="1" ht="12.75" customHeight="1">
      <c r="A3" s="45" t="s">
        <v>0</v>
      </c>
      <c r="B3" s="47" t="s">
        <v>10</v>
      </c>
      <c r="C3" s="47" t="s">
        <v>11</v>
      </c>
      <c r="D3" s="49" t="s">
        <v>20</v>
      </c>
      <c r="E3" s="49" t="s">
        <v>7</v>
      </c>
      <c r="F3" s="49" t="s">
        <v>12</v>
      </c>
      <c r="G3" s="49" t="s">
        <v>21</v>
      </c>
      <c r="H3" s="49"/>
      <c r="I3" s="49"/>
      <c r="J3" s="49"/>
      <c r="K3" s="49" t="s">
        <v>19</v>
      </c>
      <c r="L3" s="49" t="s">
        <v>6</v>
      </c>
      <c r="M3" s="37" t="s">
        <v>5</v>
      </c>
    </row>
    <row r="4" spans="1:13" s="1" customFormat="1" ht="21" customHeight="1" thickBot="1">
      <c r="A4" s="46"/>
      <c r="B4" s="48"/>
      <c r="C4" s="48"/>
      <c r="D4" s="48"/>
      <c r="E4" s="48"/>
      <c r="F4" s="48"/>
      <c r="G4" s="7">
        <v>1</v>
      </c>
      <c r="H4" s="7">
        <v>2</v>
      </c>
      <c r="I4" s="7">
        <v>3</v>
      </c>
      <c r="J4" s="7" t="s">
        <v>8</v>
      </c>
      <c r="K4" s="48"/>
      <c r="L4" s="48"/>
      <c r="M4" s="38"/>
    </row>
    <row r="5" spans="1:12" ht="15">
      <c r="A5" s="53" t="s">
        <v>22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3" ht="12.75">
      <c r="A6" s="10" t="s">
        <v>24</v>
      </c>
      <c r="B6" s="10" t="s">
        <v>25</v>
      </c>
      <c r="C6" s="10" t="s">
        <v>26</v>
      </c>
      <c r="D6" s="10" t="str">
        <f>"0,9398"</f>
        <v>0,9398</v>
      </c>
      <c r="E6" s="10" t="s">
        <v>27</v>
      </c>
      <c r="F6" s="10" t="s">
        <v>28</v>
      </c>
      <c r="G6" s="12" t="s">
        <v>29</v>
      </c>
      <c r="H6" s="12" t="s">
        <v>30</v>
      </c>
      <c r="I6" s="12" t="s">
        <v>31</v>
      </c>
      <c r="J6" s="11"/>
      <c r="K6" s="10" t="str">
        <f>"45,0"</f>
        <v>45,0</v>
      </c>
      <c r="L6" s="12" t="str">
        <f>"45,6719"</f>
        <v>45,6719</v>
      </c>
      <c r="M6" s="10" t="s">
        <v>32</v>
      </c>
    </row>
    <row r="8" spans="1:12" ht="15">
      <c r="A8" s="50" t="s">
        <v>33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</row>
    <row r="9" spans="1:13" ht="12.75">
      <c r="A9" s="10" t="s">
        <v>35</v>
      </c>
      <c r="B9" s="10" t="s">
        <v>36</v>
      </c>
      <c r="C9" s="10" t="s">
        <v>37</v>
      </c>
      <c r="D9" s="10" t="str">
        <f>"0,8756"</f>
        <v>0,8756</v>
      </c>
      <c r="E9" s="10" t="s">
        <v>27</v>
      </c>
      <c r="F9" s="10" t="s">
        <v>38</v>
      </c>
      <c r="G9" s="11" t="s">
        <v>39</v>
      </c>
      <c r="H9" s="12" t="s">
        <v>40</v>
      </c>
      <c r="I9" s="12" t="s">
        <v>41</v>
      </c>
      <c r="J9" s="11"/>
      <c r="K9" s="10" t="str">
        <f>"65,0"</f>
        <v>65,0</v>
      </c>
      <c r="L9" s="12" t="str">
        <f>"56,9172"</f>
        <v>56,9172</v>
      </c>
      <c r="M9" s="10" t="s">
        <v>32</v>
      </c>
    </row>
    <row r="11" spans="1:12" ht="15">
      <c r="A11" s="50" t="s">
        <v>42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</row>
    <row r="12" spans="1:13" ht="12.75">
      <c r="A12" s="10" t="s">
        <v>44</v>
      </c>
      <c r="B12" s="10" t="s">
        <v>45</v>
      </c>
      <c r="C12" s="10" t="s">
        <v>46</v>
      </c>
      <c r="D12" s="10" t="str">
        <f>"0,8468"</f>
        <v>0,8468</v>
      </c>
      <c r="E12" s="10" t="s">
        <v>27</v>
      </c>
      <c r="F12" s="10" t="s">
        <v>47</v>
      </c>
      <c r="G12" s="12" t="s">
        <v>48</v>
      </c>
      <c r="H12" s="11" t="s">
        <v>49</v>
      </c>
      <c r="I12" s="11"/>
      <c r="J12" s="11"/>
      <c r="K12" s="10" t="str">
        <f>"80,0"</f>
        <v>80,0</v>
      </c>
      <c r="L12" s="12" t="str">
        <f>"67,7400"</f>
        <v>67,7400</v>
      </c>
      <c r="M12" s="10" t="s">
        <v>50</v>
      </c>
    </row>
    <row r="14" spans="1:12" ht="15">
      <c r="A14" s="50" t="s">
        <v>51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</row>
    <row r="15" spans="1:13" ht="12.75">
      <c r="A15" s="10" t="s">
        <v>53</v>
      </c>
      <c r="B15" s="10" t="s">
        <v>54</v>
      </c>
      <c r="C15" s="10" t="s">
        <v>55</v>
      </c>
      <c r="D15" s="10" t="str">
        <f>"0,9515"</f>
        <v>0,9515</v>
      </c>
      <c r="E15" s="10" t="s">
        <v>56</v>
      </c>
      <c r="F15" s="10" t="s">
        <v>38</v>
      </c>
      <c r="G15" s="11" t="s">
        <v>30</v>
      </c>
      <c r="H15" s="12" t="s">
        <v>30</v>
      </c>
      <c r="I15" s="11" t="s">
        <v>57</v>
      </c>
      <c r="J15" s="11"/>
      <c r="K15" s="10" t="str">
        <f>"40,0"</f>
        <v>40,0</v>
      </c>
      <c r="L15" s="12" t="str">
        <f>"44,9108"</f>
        <v>44,9108</v>
      </c>
      <c r="M15" s="10" t="s">
        <v>58</v>
      </c>
    </row>
    <row r="17" spans="1:12" ht="15">
      <c r="A17" s="50" t="s">
        <v>22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</row>
    <row r="18" spans="1:13" ht="12.75">
      <c r="A18" s="10" t="s">
        <v>60</v>
      </c>
      <c r="B18" s="10" t="s">
        <v>61</v>
      </c>
      <c r="C18" s="10" t="s">
        <v>62</v>
      </c>
      <c r="D18" s="10" t="str">
        <f>"0,8748"</f>
        <v>0,8748</v>
      </c>
      <c r="E18" s="10" t="s">
        <v>515</v>
      </c>
      <c r="F18" s="10" t="s">
        <v>38</v>
      </c>
      <c r="G18" s="12" t="s">
        <v>64</v>
      </c>
      <c r="H18" s="11" t="s">
        <v>95</v>
      </c>
      <c r="I18" s="11" t="s">
        <v>95</v>
      </c>
      <c r="J18" s="11"/>
      <c r="K18" s="10" t="s">
        <v>64</v>
      </c>
      <c r="L18" s="12" t="str">
        <f>"102,7890"</f>
        <v>102,7890</v>
      </c>
      <c r="M18" s="10" t="s">
        <v>58</v>
      </c>
    </row>
    <row r="20" spans="1:12" ht="15">
      <c r="A20" s="50" t="s">
        <v>42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</row>
    <row r="21" spans="1:13" ht="12.75">
      <c r="A21" s="10" t="s">
        <v>67</v>
      </c>
      <c r="B21" s="10" t="s">
        <v>68</v>
      </c>
      <c r="C21" s="10" t="s">
        <v>69</v>
      </c>
      <c r="D21" s="10" t="str">
        <f>"0,7258"</f>
        <v>0,7258</v>
      </c>
      <c r="E21" s="10" t="s">
        <v>56</v>
      </c>
      <c r="F21" s="10" t="s">
        <v>38</v>
      </c>
      <c r="G21" s="12" t="s">
        <v>70</v>
      </c>
      <c r="H21" s="12" t="s">
        <v>64</v>
      </c>
      <c r="I21" s="11" t="s">
        <v>71</v>
      </c>
      <c r="J21" s="11"/>
      <c r="K21" s="10" t="str">
        <f>"110,0"</f>
        <v>110,0</v>
      </c>
      <c r="L21" s="12" t="str">
        <f>"79,8380"</f>
        <v>79,8380</v>
      </c>
      <c r="M21" s="10" t="s">
        <v>32</v>
      </c>
    </row>
    <row r="23" spans="1:12" ht="15">
      <c r="A23" s="50" t="s">
        <v>72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</row>
    <row r="24" spans="1:13" ht="12.75">
      <c r="A24" s="13" t="s">
        <v>74</v>
      </c>
      <c r="B24" s="13" t="s">
        <v>75</v>
      </c>
      <c r="C24" s="13" t="s">
        <v>76</v>
      </c>
      <c r="D24" s="13" t="str">
        <f>"0,6737"</f>
        <v>0,6737</v>
      </c>
      <c r="E24" s="13" t="s">
        <v>27</v>
      </c>
      <c r="F24" s="13" t="s">
        <v>77</v>
      </c>
      <c r="G24" s="15" t="s">
        <v>48</v>
      </c>
      <c r="H24" s="15" t="s">
        <v>78</v>
      </c>
      <c r="I24" s="14" t="s">
        <v>79</v>
      </c>
      <c r="J24" s="14"/>
      <c r="K24" s="13" t="str">
        <f>"85,0"</f>
        <v>85,0</v>
      </c>
      <c r="L24" s="15" t="str">
        <f>"67,5721"</f>
        <v>67,5721</v>
      </c>
      <c r="M24" s="13" t="s">
        <v>80</v>
      </c>
    </row>
    <row r="25" spans="1:13" ht="12.75">
      <c r="A25" s="16" t="s">
        <v>82</v>
      </c>
      <c r="B25" s="16" t="s">
        <v>83</v>
      </c>
      <c r="C25" s="16" t="s">
        <v>84</v>
      </c>
      <c r="D25" s="16" t="str">
        <f>"0,7211"</f>
        <v>0,7211</v>
      </c>
      <c r="E25" s="16" t="s">
        <v>27</v>
      </c>
      <c r="F25" s="16" t="s">
        <v>85</v>
      </c>
      <c r="G25" s="17" t="s">
        <v>86</v>
      </c>
      <c r="H25" s="18" t="s">
        <v>86</v>
      </c>
      <c r="I25" s="17" t="s">
        <v>48</v>
      </c>
      <c r="J25" s="17" t="s">
        <v>87</v>
      </c>
      <c r="K25" s="16" t="str">
        <f>"75,0"</f>
        <v>75,0</v>
      </c>
      <c r="L25" s="18" t="str">
        <f>"66,5215"</f>
        <v>66,5215</v>
      </c>
      <c r="M25" s="16" t="s">
        <v>88</v>
      </c>
    </row>
    <row r="26" spans="1:13" ht="12.75">
      <c r="A26" s="16" t="s">
        <v>90</v>
      </c>
      <c r="B26" s="16" t="s">
        <v>91</v>
      </c>
      <c r="C26" s="16" t="s">
        <v>92</v>
      </c>
      <c r="D26" s="16" t="str">
        <f>"0,6789"</f>
        <v>0,6789</v>
      </c>
      <c r="E26" s="16" t="s">
        <v>27</v>
      </c>
      <c r="F26" s="16" t="s">
        <v>93</v>
      </c>
      <c r="G26" s="18" t="s">
        <v>94</v>
      </c>
      <c r="H26" s="18" t="s">
        <v>95</v>
      </c>
      <c r="I26" s="17" t="s">
        <v>96</v>
      </c>
      <c r="J26" s="17"/>
      <c r="K26" s="16" t="str">
        <f>"120,0"</f>
        <v>120,0</v>
      </c>
      <c r="L26" s="18" t="str">
        <f>"81,4680"</f>
        <v>81,4680</v>
      </c>
      <c r="M26" s="16" t="s">
        <v>32</v>
      </c>
    </row>
    <row r="27" spans="1:13" ht="12.75">
      <c r="A27" s="16" t="s">
        <v>98</v>
      </c>
      <c r="B27" s="16" t="s">
        <v>99</v>
      </c>
      <c r="C27" s="16" t="s">
        <v>100</v>
      </c>
      <c r="D27" s="16" t="str">
        <f>"0,6645"</f>
        <v>0,6645</v>
      </c>
      <c r="E27" s="16" t="s">
        <v>27</v>
      </c>
      <c r="F27" s="16" t="s">
        <v>101</v>
      </c>
      <c r="G27" s="18" t="s">
        <v>102</v>
      </c>
      <c r="H27" s="18" t="s">
        <v>64</v>
      </c>
      <c r="I27" s="17" t="s">
        <v>95</v>
      </c>
      <c r="J27" s="17"/>
      <c r="K27" s="16" t="str">
        <f>"110,0"</f>
        <v>110,0</v>
      </c>
      <c r="L27" s="18" t="str">
        <f>"73,0950"</f>
        <v>73,0950</v>
      </c>
      <c r="M27" s="16" t="s">
        <v>32</v>
      </c>
    </row>
    <row r="28" spans="1:13" ht="12.75">
      <c r="A28" s="19" t="s">
        <v>104</v>
      </c>
      <c r="B28" s="19" t="s">
        <v>105</v>
      </c>
      <c r="C28" s="19" t="s">
        <v>106</v>
      </c>
      <c r="D28" s="19" t="str">
        <f>"0,6752"</f>
        <v>0,6752</v>
      </c>
      <c r="E28" s="19" t="s">
        <v>107</v>
      </c>
      <c r="F28" s="19" t="s">
        <v>101</v>
      </c>
      <c r="G28" s="20" t="s">
        <v>108</v>
      </c>
      <c r="H28" s="21" t="s">
        <v>108</v>
      </c>
      <c r="I28" s="20" t="s">
        <v>109</v>
      </c>
      <c r="J28" s="20"/>
      <c r="K28" s="19" t="str">
        <f>"102,5"</f>
        <v>102,5</v>
      </c>
      <c r="L28" s="21" t="str">
        <f>"69,2080"</f>
        <v>69,2080</v>
      </c>
      <c r="M28" s="19" t="s">
        <v>32</v>
      </c>
    </row>
    <row r="30" spans="1:12" ht="15">
      <c r="A30" s="50" t="s">
        <v>110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</row>
    <row r="31" spans="1:13" ht="12.75">
      <c r="A31" s="10" t="s">
        <v>112</v>
      </c>
      <c r="B31" s="10" t="s">
        <v>113</v>
      </c>
      <c r="C31" s="10" t="s">
        <v>114</v>
      </c>
      <c r="D31" s="10" t="str">
        <f>"0,6467"</f>
        <v>0,6467</v>
      </c>
      <c r="E31" s="10" t="s">
        <v>27</v>
      </c>
      <c r="F31" s="10" t="s">
        <v>115</v>
      </c>
      <c r="G31" s="12" t="s">
        <v>116</v>
      </c>
      <c r="H31" s="12" t="s">
        <v>117</v>
      </c>
      <c r="I31" s="11" t="s">
        <v>118</v>
      </c>
      <c r="J31" s="11"/>
      <c r="K31" s="10" t="str">
        <f>"142,5"</f>
        <v>142,5</v>
      </c>
      <c r="L31" s="12" t="str">
        <f>"92,1548"</f>
        <v>92,1548</v>
      </c>
      <c r="M31" s="10" t="s">
        <v>32</v>
      </c>
    </row>
    <row r="33" spans="1:12" ht="15">
      <c r="A33" s="50" t="s">
        <v>119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</row>
    <row r="34" spans="1:13" ht="12.75">
      <c r="A34" s="13" t="s">
        <v>121</v>
      </c>
      <c r="B34" s="13" t="s">
        <v>122</v>
      </c>
      <c r="C34" s="13" t="s">
        <v>123</v>
      </c>
      <c r="D34" s="13" t="str">
        <f>"0,5893"</f>
        <v>0,5893</v>
      </c>
      <c r="E34" s="13" t="s">
        <v>27</v>
      </c>
      <c r="F34" s="13" t="s">
        <v>38</v>
      </c>
      <c r="G34" s="15" t="s">
        <v>109</v>
      </c>
      <c r="H34" s="15" t="s">
        <v>71</v>
      </c>
      <c r="I34" s="14" t="s">
        <v>65</v>
      </c>
      <c r="J34" s="14"/>
      <c r="K34" s="13" t="str">
        <f>"112,5"</f>
        <v>112,5</v>
      </c>
      <c r="L34" s="15" t="str">
        <f>"74,9148"</f>
        <v>74,9148</v>
      </c>
      <c r="M34" s="13" t="s">
        <v>124</v>
      </c>
    </row>
    <row r="35" spans="1:13" ht="12.75">
      <c r="A35" s="16" t="s">
        <v>126</v>
      </c>
      <c r="B35" s="16" t="s">
        <v>127</v>
      </c>
      <c r="C35" s="16" t="s">
        <v>128</v>
      </c>
      <c r="D35" s="16" t="str">
        <f>"0,5881"</f>
        <v>0,5881</v>
      </c>
      <c r="E35" s="16" t="s">
        <v>27</v>
      </c>
      <c r="F35" s="16" t="s">
        <v>129</v>
      </c>
      <c r="G35" s="17" t="s">
        <v>130</v>
      </c>
      <c r="H35" s="17" t="s">
        <v>130</v>
      </c>
      <c r="I35" s="18" t="s">
        <v>130</v>
      </c>
      <c r="J35" s="17"/>
      <c r="K35" s="16" t="str">
        <f>"135,0"</f>
        <v>135,0</v>
      </c>
      <c r="L35" s="18" t="str">
        <f>"79,3935"</f>
        <v>79,3935</v>
      </c>
      <c r="M35" s="16" t="s">
        <v>32</v>
      </c>
    </row>
    <row r="36" spans="1:13" ht="12.75">
      <c r="A36" s="16" t="s">
        <v>132</v>
      </c>
      <c r="B36" s="16" t="s">
        <v>133</v>
      </c>
      <c r="C36" s="16" t="s">
        <v>134</v>
      </c>
      <c r="D36" s="16" t="str">
        <f>"0,5935"</f>
        <v>0,5935</v>
      </c>
      <c r="E36" s="16" t="s">
        <v>27</v>
      </c>
      <c r="F36" s="16" t="s">
        <v>101</v>
      </c>
      <c r="G36" s="18" t="s">
        <v>64</v>
      </c>
      <c r="H36" s="17" t="s">
        <v>130</v>
      </c>
      <c r="I36" s="17" t="s">
        <v>130</v>
      </c>
      <c r="J36" s="17"/>
      <c r="K36" s="16" t="str">
        <f>"110,0"</f>
        <v>110,0</v>
      </c>
      <c r="L36" s="18" t="str">
        <f>"65,2850"</f>
        <v>65,2850</v>
      </c>
      <c r="M36" s="16" t="s">
        <v>135</v>
      </c>
    </row>
    <row r="37" spans="1:13" ht="12.75">
      <c r="A37" s="19" t="s">
        <v>137</v>
      </c>
      <c r="B37" s="19" t="s">
        <v>138</v>
      </c>
      <c r="C37" s="19" t="s">
        <v>139</v>
      </c>
      <c r="D37" s="19" t="str">
        <f>"0,6031"</f>
        <v>0,6031</v>
      </c>
      <c r="E37" s="19" t="s">
        <v>27</v>
      </c>
      <c r="F37" s="19" t="s">
        <v>28</v>
      </c>
      <c r="G37" s="21" t="s">
        <v>140</v>
      </c>
      <c r="H37" s="21" t="s">
        <v>141</v>
      </c>
      <c r="I37" s="20" t="s">
        <v>142</v>
      </c>
      <c r="J37" s="20"/>
      <c r="K37" s="19" t="str">
        <f>"160,0"</f>
        <v>160,0</v>
      </c>
      <c r="L37" s="21" t="str">
        <f>"96,7855"</f>
        <v>96,7855</v>
      </c>
      <c r="M37" s="19" t="s">
        <v>32</v>
      </c>
    </row>
    <row r="39" spans="1:12" ht="15">
      <c r="A39" s="50" t="s">
        <v>143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</row>
    <row r="40" spans="1:13" ht="12.75">
      <c r="A40" s="13" t="s">
        <v>145</v>
      </c>
      <c r="B40" s="13" t="s">
        <v>146</v>
      </c>
      <c r="C40" s="13" t="s">
        <v>147</v>
      </c>
      <c r="D40" s="13" t="str">
        <f>"0,5558"</f>
        <v>0,5558</v>
      </c>
      <c r="E40" s="13" t="s">
        <v>27</v>
      </c>
      <c r="F40" s="13" t="s">
        <v>47</v>
      </c>
      <c r="G40" s="15" t="s">
        <v>148</v>
      </c>
      <c r="H40" s="15" t="s">
        <v>142</v>
      </c>
      <c r="I40" s="15" t="s">
        <v>149</v>
      </c>
      <c r="J40" s="14"/>
      <c r="K40" s="13" t="str">
        <f>"170,0"</f>
        <v>170,0</v>
      </c>
      <c r="L40" s="15" t="str">
        <f>"94,4860"</f>
        <v>94,4860</v>
      </c>
      <c r="M40" s="13" t="s">
        <v>32</v>
      </c>
    </row>
    <row r="41" spans="1:13" ht="12.75">
      <c r="A41" s="16" t="s">
        <v>151</v>
      </c>
      <c r="B41" s="16" t="s">
        <v>152</v>
      </c>
      <c r="C41" s="16" t="s">
        <v>153</v>
      </c>
      <c r="D41" s="16" t="str">
        <f>"0,5540"</f>
        <v>0,5540</v>
      </c>
      <c r="E41" s="16" t="s">
        <v>27</v>
      </c>
      <c r="F41" s="16" t="s">
        <v>47</v>
      </c>
      <c r="G41" s="18" t="s">
        <v>154</v>
      </c>
      <c r="H41" s="18" t="s">
        <v>141</v>
      </c>
      <c r="I41" s="18" t="s">
        <v>142</v>
      </c>
      <c r="J41" s="17"/>
      <c r="K41" s="16" t="str">
        <f>"165,0"</f>
        <v>165,0</v>
      </c>
      <c r="L41" s="18" t="str">
        <f>"91,4100"</f>
        <v>91,4100</v>
      </c>
      <c r="M41" s="16" t="s">
        <v>32</v>
      </c>
    </row>
    <row r="42" spans="1:13" ht="12.75">
      <c r="A42" s="16" t="s">
        <v>156</v>
      </c>
      <c r="B42" s="16" t="s">
        <v>157</v>
      </c>
      <c r="C42" s="16" t="s">
        <v>158</v>
      </c>
      <c r="D42" s="16" t="str">
        <f>"0,5565"</f>
        <v>0,5565</v>
      </c>
      <c r="E42" s="16" t="s">
        <v>159</v>
      </c>
      <c r="F42" s="16" t="s">
        <v>115</v>
      </c>
      <c r="G42" s="18" t="s">
        <v>140</v>
      </c>
      <c r="H42" s="18" t="s">
        <v>141</v>
      </c>
      <c r="I42" s="17" t="s">
        <v>149</v>
      </c>
      <c r="J42" s="17"/>
      <c r="K42" s="16" t="str">
        <f>"160,0"</f>
        <v>160,0</v>
      </c>
      <c r="L42" s="18" t="str">
        <f>"89,0400"</f>
        <v>89,0400</v>
      </c>
      <c r="M42" s="16" t="s">
        <v>32</v>
      </c>
    </row>
    <row r="43" spans="1:13" ht="12.75">
      <c r="A43" s="16" t="s">
        <v>161</v>
      </c>
      <c r="B43" s="16" t="s">
        <v>162</v>
      </c>
      <c r="C43" s="16" t="s">
        <v>163</v>
      </c>
      <c r="D43" s="16" t="str">
        <f>"0,5627"</f>
        <v>0,5627</v>
      </c>
      <c r="E43" s="16" t="s">
        <v>27</v>
      </c>
      <c r="F43" s="16" t="s">
        <v>38</v>
      </c>
      <c r="G43" s="18" t="s">
        <v>117</v>
      </c>
      <c r="H43" s="18" t="s">
        <v>164</v>
      </c>
      <c r="I43" s="17" t="s">
        <v>165</v>
      </c>
      <c r="J43" s="17"/>
      <c r="K43" s="16" t="str">
        <f>"152,0"</f>
        <v>152,0</v>
      </c>
      <c r="L43" s="18" t="str">
        <f>"85,5304"</f>
        <v>85,5304</v>
      </c>
      <c r="M43" s="16" t="s">
        <v>166</v>
      </c>
    </row>
    <row r="44" spans="1:13" ht="12.75">
      <c r="A44" s="16" t="s">
        <v>168</v>
      </c>
      <c r="B44" s="16" t="s">
        <v>169</v>
      </c>
      <c r="C44" s="16" t="s">
        <v>170</v>
      </c>
      <c r="D44" s="16" t="str">
        <f>"0,5678"</f>
        <v>0,5678</v>
      </c>
      <c r="E44" s="16" t="s">
        <v>27</v>
      </c>
      <c r="F44" s="16" t="s">
        <v>101</v>
      </c>
      <c r="G44" s="17" t="s">
        <v>130</v>
      </c>
      <c r="H44" s="17" t="s">
        <v>171</v>
      </c>
      <c r="I44" s="18" t="s">
        <v>171</v>
      </c>
      <c r="J44" s="17"/>
      <c r="K44" s="16" t="str">
        <f>"145,0"</f>
        <v>145,0</v>
      </c>
      <c r="L44" s="18" t="str">
        <f>"82,3310"</f>
        <v>82,3310</v>
      </c>
      <c r="M44" s="16" t="s">
        <v>32</v>
      </c>
    </row>
    <row r="45" spans="1:13" ht="12.75">
      <c r="A45" s="16" t="s">
        <v>173</v>
      </c>
      <c r="B45" s="16" t="s">
        <v>174</v>
      </c>
      <c r="C45" s="16" t="s">
        <v>153</v>
      </c>
      <c r="D45" s="16" t="str">
        <f>"0,5540"</f>
        <v>0,5540</v>
      </c>
      <c r="E45" s="16" t="s">
        <v>107</v>
      </c>
      <c r="F45" s="16" t="s">
        <v>101</v>
      </c>
      <c r="G45" s="17" t="s">
        <v>116</v>
      </c>
      <c r="H45" s="18" t="s">
        <v>116</v>
      </c>
      <c r="I45" s="18" t="s">
        <v>175</v>
      </c>
      <c r="J45" s="17"/>
      <c r="K45" s="16" t="str">
        <f>"137,5"</f>
        <v>137,5</v>
      </c>
      <c r="L45" s="18" t="str">
        <f>"78,5364"</f>
        <v>78,5364</v>
      </c>
      <c r="M45" s="16" t="s">
        <v>32</v>
      </c>
    </row>
    <row r="46" spans="1:13" ht="12.75">
      <c r="A46" s="19" t="s">
        <v>177</v>
      </c>
      <c r="B46" s="19" t="s">
        <v>178</v>
      </c>
      <c r="C46" s="19" t="s">
        <v>158</v>
      </c>
      <c r="D46" s="19" t="str">
        <f>"0,5565"</f>
        <v>0,5565</v>
      </c>
      <c r="E46" s="19" t="s">
        <v>514</v>
      </c>
      <c r="F46" s="19" t="s">
        <v>38</v>
      </c>
      <c r="G46" s="21" t="s">
        <v>149</v>
      </c>
      <c r="H46" s="21" t="s">
        <v>179</v>
      </c>
      <c r="I46" s="20" t="s">
        <v>180</v>
      </c>
      <c r="J46" s="20"/>
      <c r="K46" s="19" t="str">
        <f>"180,0"</f>
        <v>180,0</v>
      </c>
      <c r="L46" s="21" t="str">
        <f>"120,6047"</f>
        <v>120,6047</v>
      </c>
      <c r="M46" s="19" t="s">
        <v>181</v>
      </c>
    </row>
    <row r="48" spans="1:12" ht="15">
      <c r="A48" s="50" t="s">
        <v>182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</row>
    <row r="49" spans="1:13" ht="12.75">
      <c r="A49" s="13" t="s">
        <v>184</v>
      </c>
      <c r="B49" s="13" t="s">
        <v>185</v>
      </c>
      <c r="C49" s="13" t="s">
        <v>186</v>
      </c>
      <c r="D49" s="13" t="str">
        <f>"0,5365"</f>
        <v>0,5365</v>
      </c>
      <c r="E49" s="13" t="s">
        <v>513</v>
      </c>
      <c r="F49" s="13" t="s">
        <v>85</v>
      </c>
      <c r="G49" s="14" t="s">
        <v>180</v>
      </c>
      <c r="H49" s="15" t="s">
        <v>187</v>
      </c>
      <c r="I49" s="15" t="s">
        <v>188</v>
      </c>
      <c r="J49" s="14"/>
      <c r="K49" s="13" t="str">
        <f>"205,0"</f>
        <v>205,0</v>
      </c>
      <c r="L49" s="15" t="str">
        <f>"109,9825"</f>
        <v>109,9825</v>
      </c>
      <c r="M49" s="13" t="s">
        <v>32</v>
      </c>
    </row>
    <row r="50" spans="1:13" ht="12.75">
      <c r="A50" s="16" t="s">
        <v>190</v>
      </c>
      <c r="B50" s="16" t="s">
        <v>191</v>
      </c>
      <c r="C50" s="16" t="s">
        <v>192</v>
      </c>
      <c r="D50" s="16" t="str">
        <f>"0,5413"</f>
        <v>0,5413</v>
      </c>
      <c r="E50" s="16" t="s">
        <v>27</v>
      </c>
      <c r="F50" s="16" t="s">
        <v>38</v>
      </c>
      <c r="G50" s="18" t="s">
        <v>179</v>
      </c>
      <c r="H50" s="18" t="s">
        <v>187</v>
      </c>
      <c r="I50" s="18" t="s">
        <v>193</v>
      </c>
      <c r="J50" s="17"/>
      <c r="K50" s="16" t="str">
        <f>"202,5"</f>
        <v>202,5</v>
      </c>
      <c r="L50" s="18" t="str">
        <f>"109,6132"</f>
        <v>109,6132</v>
      </c>
      <c r="M50" s="16" t="s">
        <v>32</v>
      </c>
    </row>
    <row r="51" spans="1:13" ht="12.75">
      <c r="A51" s="19" t="s">
        <v>195</v>
      </c>
      <c r="B51" s="19" t="s">
        <v>196</v>
      </c>
      <c r="C51" s="19" t="s">
        <v>197</v>
      </c>
      <c r="D51" s="19" t="str">
        <f>"0,5377"</f>
        <v>0,5377</v>
      </c>
      <c r="E51" s="19" t="s">
        <v>56</v>
      </c>
      <c r="F51" s="19" t="s">
        <v>38</v>
      </c>
      <c r="G51" s="21" t="s">
        <v>171</v>
      </c>
      <c r="H51" s="21" t="s">
        <v>140</v>
      </c>
      <c r="I51" s="20" t="s">
        <v>198</v>
      </c>
      <c r="J51" s="20"/>
      <c r="K51" s="19" t="str">
        <f>"150,0"</f>
        <v>150,0</v>
      </c>
      <c r="L51" s="21" t="str">
        <f>"80,6550"</f>
        <v>80,6550</v>
      </c>
      <c r="M51" s="19" t="s">
        <v>58</v>
      </c>
    </row>
    <row r="53" spans="1:12" ht="15">
      <c r="A53" s="50" t="s">
        <v>199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</row>
    <row r="54" spans="1:13" ht="12.75">
      <c r="A54" s="13" t="s">
        <v>201</v>
      </c>
      <c r="B54" s="13" t="s">
        <v>202</v>
      </c>
      <c r="C54" s="13" t="s">
        <v>203</v>
      </c>
      <c r="D54" s="13" t="str">
        <f>"0,5210"</f>
        <v>0,5210</v>
      </c>
      <c r="E54" s="13" t="s">
        <v>27</v>
      </c>
      <c r="F54" s="13" t="s">
        <v>28</v>
      </c>
      <c r="G54" s="15" t="s">
        <v>171</v>
      </c>
      <c r="H54" s="15" t="s">
        <v>118</v>
      </c>
      <c r="I54" s="14" t="s">
        <v>142</v>
      </c>
      <c r="J54" s="14"/>
      <c r="K54" s="13" t="str">
        <f>"155,0"</f>
        <v>155,0</v>
      </c>
      <c r="L54" s="15" t="str">
        <f>"85,6003"</f>
        <v>85,6003</v>
      </c>
      <c r="M54" s="13" t="s">
        <v>32</v>
      </c>
    </row>
    <row r="55" spans="1:13" ht="12.75">
      <c r="A55" s="19" t="s">
        <v>205</v>
      </c>
      <c r="B55" s="19" t="s">
        <v>206</v>
      </c>
      <c r="C55" s="19" t="s">
        <v>207</v>
      </c>
      <c r="D55" s="19" t="str">
        <f>"0,5290"</f>
        <v>0,5290</v>
      </c>
      <c r="E55" s="19" t="s">
        <v>515</v>
      </c>
      <c r="F55" s="19" t="s">
        <v>38</v>
      </c>
      <c r="G55" s="21" t="s">
        <v>141</v>
      </c>
      <c r="H55" s="21" t="s">
        <v>149</v>
      </c>
      <c r="I55" s="21" t="s">
        <v>179</v>
      </c>
      <c r="J55" s="20"/>
      <c r="K55" s="19" t="str">
        <f>"180,0"</f>
        <v>180,0</v>
      </c>
      <c r="L55" s="21" t="str">
        <f>"95,2200"</f>
        <v>95,2200</v>
      </c>
      <c r="M55" s="19" t="s">
        <v>32</v>
      </c>
    </row>
    <row r="57" spans="1:12" ht="15">
      <c r="A57" s="50" t="s">
        <v>208</v>
      </c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</row>
    <row r="58" spans="1:13" ht="12.75">
      <c r="A58" s="13" t="s">
        <v>209</v>
      </c>
      <c r="B58" s="13" t="s">
        <v>210</v>
      </c>
      <c r="C58" s="13" t="s">
        <v>211</v>
      </c>
      <c r="D58" s="13" t="str">
        <f>"0,5068"</f>
        <v>0,5068</v>
      </c>
      <c r="E58" s="13" t="s">
        <v>212</v>
      </c>
      <c r="F58" s="13" t="s">
        <v>38</v>
      </c>
      <c r="G58" s="14" t="s">
        <v>179</v>
      </c>
      <c r="H58" s="14" t="s">
        <v>179</v>
      </c>
      <c r="I58" s="14" t="s">
        <v>179</v>
      </c>
      <c r="J58" s="14"/>
      <c r="K58" s="13" t="str">
        <f>"0.00"</f>
        <v>0.00</v>
      </c>
      <c r="L58" s="15" t="str">
        <f>"0,0000"</f>
        <v>0,0000</v>
      </c>
      <c r="M58" s="13" t="s">
        <v>32</v>
      </c>
    </row>
    <row r="59" spans="1:13" ht="12.75">
      <c r="A59" s="19" t="s">
        <v>214</v>
      </c>
      <c r="B59" s="19" t="s">
        <v>215</v>
      </c>
      <c r="C59" s="19" t="s">
        <v>216</v>
      </c>
      <c r="D59" s="19" t="str">
        <f>"0,5198"</f>
        <v>0,5198</v>
      </c>
      <c r="E59" s="19" t="s">
        <v>513</v>
      </c>
      <c r="F59" s="19" t="s">
        <v>85</v>
      </c>
      <c r="G59" s="21" t="s">
        <v>116</v>
      </c>
      <c r="H59" s="21" t="s">
        <v>154</v>
      </c>
      <c r="I59" s="20" t="s">
        <v>171</v>
      </c>
      <c r="J59" s="20"/>
      <c r="K59" s="19" t="str">
        <f>"140,0"</f>
        <v>140,0</v>
      </c>
      <c r="L59" s="21" t="str">
        <f>"76,2651"</f>
        <v>76,2651</v>
      </c>
      <c r="M59" s="19" t="s">
        <v>88</v>
      </c>
    </row>
    <row r="61" ht="15">
      <c r="E61" s="8" t="s">
        <v>13</v>
      </c>
    </row>
    <row r="62" ht="15">
      <c r="E62" s="8" t="s">
        <v>14</v>
      </c>
    </row>
    <row r="63" ht="15">
      <c r="E63" s="8" t="s">
        <v>15</v>
      </c>
    </row>
    <row r="64" ht="15">
      <c r="E64" s="8" t="s">
        <v>16</v>
      </c>
    </row>
    <row r="65" ht="15">
      <c r="E65" s="8" t="s">
        <v>16</v>
      </c>
    </row>
    <row r="66" ht="15">
      <c r="E66" s="8" t="s">
        <v>17</v>
      </c>
    </row>
    <row r="67" ht="15">
      <c r="E67" s="8"/>
    </row>
    <row r="69" spans="1:2" ht="18">
      <c r="A69" s="9" t="s">
        <v>18</v>
      </c>
      <c r="B69" s="9"/>
    </row>
    <row r="70" spans="1:2" ht="15">
      <c r="A70" s="22" t="s">
        <v>217</v>
      </c>
      <c r="B70" s="22"/>
    </row>
    <row r="71" spans="1:2" ht="14.25">
      <c r="A71" s="24"/>
      <c r="B71" s="25" t="s">
        <v>218</v>
      </c>
    </row>
    <row r="72" spans="1:5" ht="15">
      <c r="A72" s="26" t="s">
        <v>219</v>
      </c>
      <c r="B72" s="26" t="s">
        <v>220</v>
      </c>
      <c r="C72" s="26" t="s">
        <v>221</v>
      </c>
      <c r="D72" s="26" t="s">
        <v>222</v>
      </c>
      <c r="E72" s="26" t="s">
        <v>223</v>
      </c>
    </row>
    <row r="73" spans="1:5" ht="12.75">
      <c r="A73" s="23" t="s">
        <v>23</v>
      </c>
      <c r="B73" s="4" t="s">
        <v>224</v>
      </c>
      <c r="C73" s="4" t="s">
        <v>225</v>
      </c>
      <c r="D73" s="4" t="s">
        <v>31</v>
      </c>
      <c r="E73" s="27" t="s">
        <v>226</v>
      </c>
    </row>
    <row r="75" spans="1:2" ht="14.25">
      <c r="A75" s="24"/>
      <c r="B75" s="25" t="s">
        <v>227</v>
      </c>
    </row>
    <row r="76" spans="1:5" ht="15">
      <c r="A76" s="26" t="s">
        <v>219</v>
      </c>
      <c r="B76" s="26" t="s">
        <v>220</v>
      </c>
      <c r="C76" s="26" t="s">
        <v>221</v>
      </c>
      <c r="D76" s="26" t="s">
        <v>222</v>
      </c>
      <c r="E76" s="26" t="s">
        <v>223</v>
      </c>
    </row>
    <row r="77" spans="1:5" ht="12.75">
      <c r="A77" s="23" t="s">
        <v>43</v>
      </c>
      <c r="B77" s="4" t="s">
        <v>227</v>
      </c>
      <c r="C77" s="4" t="s">
        <v>228</v>
      </c>
      <c r="D77" s="4" t="s">
        <v>48</v>
      </c>
      <c r="E77" s="27" t="s">
        <v>229</v>
      </c>
    </row>
    <row r="78" spans="1:5" ht="12.75">
      <c r="A78" s="23" t="s">
        <v>34</v>
      </c>
      <c r="B78" s="4" t="s">
        <v>227</v>
      </c>
      <c r="C78" s="4" t="s">
        <v>230</v>
      </c>
      <c r="D78" s="4" t="s">
        <v>41</v>
      </c>
      <c r="E78" s="27" t="s">
        <v>231</v>
      </c>
    </row>
    <row r="81" spans="1:2" ht="15">
      <c r="A81" s="22" t="s">
        <v>232</v>
      </c>
      <c r="B81" s="22"/>
    </row>
    <row r="82" spans="1:2" ht="14.25">
      <c r="A82" s="24"/>
      <c r="B82" s="25" t="s">
        <v>233</v>
      </c>
    </row>
    <row r="83" spans="1:5" ht="15">
      <c r="A83" s="26" t="s">
        <v>219</v>
      </c>
      <c r="B83" s="26" t="s">
        <v>220</v>
      </c>
      <c r="C83" s="26" t="s">
        <v>221</v>
      </c>
      <c r="D83" s="26" t="s">
        <v>222</v>
      </c>
      <c r="E83" s="26" t="s">
        <v>223</v>
      </c>
    </row>
    <row r="84" spans="1:5" ht="12.75">
      <c r="A84" s="23" t="s">
        <v>200</v>
      </c>
      <c r="B84" s="4" t="s">
        <v>234</v>
      </c>
      <c r="C84" s="4" t="s">
        <v>235</v>
      </c>
      <c r="D84" s="4" t="s">
        <v>118</v>
      </c>
      <c r="E84" s="27" t="s">
        <v>236</v>
      </c>
    </row>
    <row r="85" spans="1:5" ht="12.75">
      <c r="A85" s="23" t="s">
        <v>120</v>
      </c>
      <c r="B85" s="4" t="s">
        <v>224</v>
      </c>
      <c r="C85" s="4" t="s">
        <v>237</v>
      </c>
      <c r="D85" s="4" t="s">
        <v>71</v>
      </c>
      <c r="E85" s="27" t="s">
        <v>238</v>
      </c>
    </row>
    <row r="86" spans="1:5" ht="12.75">
      <c r="A86" s="23" t="s">
        <v>73</v>
      </c>
      <c r="B86" s="4" t="s">
        <v>239</v>
      </c>
      <c r="C86" s="4" t="s">
        <v>240</v>
      </c>
      <c r="D86" s="4" t="s">
        <v>78</v>
      </c>
      <c r="E86" s="27" t="s">
        <v>241</v>
      </c>
    </row>
    <row r="87" spans="1:5" ht="12.75">
      <c r="A87" s="23" t="s">
        <v>81</v>
      </c>
      <c r="B87" s="4" t="s">
        <v>239</v>
      </c>
      <c r="C87" s="4" t="s">
        <v>240</v>
      </c>
      <c r="D87" s="4" t="s">
        <v>86</v>
      </c>
      <c r="E87" s="27" t="s">
        <v>242</v>
      </c>
    </row>
    <row r="88" spans="1:5" ht="12.75">
      <c r="A88" s="23" t="s">
        <v>52</v>
      </c>
      <c r="B88" s="4" t="s">
        <v>239</v>
      </c>
      <c r="C88" s="4" t="s">
        <v>243</v>
      </c>
      <c r="D88" s="4" t="s">
        <v>30</v>
      </c>
      <c r="E88" s="27" t="s">
        <v>244</v>
      </c>
    </row>
    <row r="90" spans="1:2" ht="14.25">
      <c r="A90" s="24"/>
      <c r="B90" s="25" t="s">
        <v>227</v>
      </c>
    </row>
    <row r="91" spans="1:5" ht="15">
      <c r="A91" s="26" t="s">
        <v>219</v>
      </c>
      <c r="B91" s="26" t="s">
        <v>220</v>
      </c>
      <c r="C91" s="26" t="s">
        <v>221</v>
      </c>
      <c r="D91" s="26" t="s">
        <v>222</v>
      </c>
      <c r="E91" s="26" t="s">
        <v>223</v>
      </c>
    </row>
    <row r="92" spans="1:5" ht="12.75">
      <c r="A92" s="23" t="s">
        <v>183</v>
      </c>
      <c r="B92" s="4" t="s">
        <v>227</v>
      </c>
      <c r="C92" s="4" t="s">
        <v>245</v>
      </c>
      <c r="D92" s="4" t="s">
        <v>188</v>
      </c>
      <c r="E92" s="27" t="s">
        <v>246</v>
      </c>
    </row>
    <row r="93" spans="1:5" ht="12.75">
      <c r="A93" s="23" t="s">
        <v>189</v>
      </c>
      <c r="B93" s="4" t="s">
        <v>227</v>
      </c>
      <c r="C93" s="4" t="s">
        <v>245</v>
      </c>
      <c r="D93" s="4" t="s">
        <v>193</v>
      </c>
      <c r="E93" s="27" t="s">
        <v>247</v>
      </c>
    </row>
    <row r="94" spans="1:5" ht="12.75">
      <c r="A94" s="23" t="s">
        <v>59</v>
      </c>
      <c r="B94" s="4" t="s">
        <v>227</v>
      </c>
      <c r="C94" s="4" t="s">
        <v>225</v>
      </c>
      <c r="D94" s="4" t="s">
        <v>102</v>
      </c>
      <c r="E94" s="27" t="s">
        <v>248</v>
      </c>
    </row>
    <row r="95" spans="1:5" ht="12.75">
      <c r="A95" s="23" t="s">
        <v>204</v>
      </c>
      <c r="B95" s="4" t="s">
        <v>227</v>
      </c>
      <c r="C95" s="4" t="s">
        <v>235</v>
      </c>
      <c r="D95" s="4" t="s">
        <v>179</v>
      </c>
      <c r="E95" s="27" t="s">
        <v>249</v>
      </c>
    </row>
    <row r="96" spans="1:5" ht="12.75">
      <c r="A96" s="23" t="s">
        <v>144</v>
      </c>
      <c r="B96" s="4" t="s">
        <v>227</v>
      </c>
      <c r="C96" s="4" t="s">
        <v>250</v>
      </c>
      <c r="D96" s="4" t="s">
        <v>149</v>
      </c>
      <c r="E96" s="27" t="s">
        <v>251</v>
      </c>
    </row>
    <row r="97" spans="1:5" ht="12.75">
      <c r="A97" s="23" t="s">
        <v>111</v>
      </c>
      <c r="B97" s="4" t="s">
        <v>227</v>
      </c>
      <c r="C97" s="4" t="s">
        <v>252</v>
      </c>
      <c r="D97" s="4" t="s">
        <v>117</v>
      </c>
      <c r="E97" s="27" t="s">
        <v>253</v>
      </c>
    </row>
    <row r="98" spans="1:5" ht="12.75">
      <c r="A98" s="23" t="s">
        <v>150</v>
      </c>
      <c r="B98" s="4" t="s">
        <v>227</v>
      </c>
      <c r="C98" s="4" t="s">
        <v>250</v>
      </c>
      <c r="D98" s="4" t="s">
        <v>142</v>
      </c>
      <c r="E98" s="27" t="s">
        <v>254</v>
      </c>
    </row>
    <row r="99" spans="1:5" ht="12.75">
      <c r="A99" s="23" t="s">
        <v>155</v>
      </c>
      <c r="B99" s="4" t="s">
        <v>227</v>
      </c>
      <c r="C99" s="4" t="s">
        <v>250</v>
      </c>
      <c r="D99" s="4" t="s">
        <v>141</v>
      </c>
      <c r="E99" s="27" t="s">
        <v>255</v>
      </c>
    </row>
    <row r="100" spans="1:5" ht="12.75">
      <c r="A100" s="23" t="s">
        <v>160</v>
      </c>
      <c r="B100" s="4" t="s">
        <v>227</v>
      </c>
      <c r="C100" s="4" t="s">
        <v>250</v>
      </c>
      <c r="D100" s="4" t="s">
        <v>164</v>
      </c>
      <c r="E100" s="27" t="s">
        <v>256</v>
      </c>
    </row>
    <row r="101" spans="1:5" ht="12.75">
      <c r="A101" s="23" t="s">
        <v>167</v>
      </c>
      <c r="B101" s="4" t="s">
        <v>227</v>
      </c>
      <c r="C101" s="4" t="s">
        <v>250</v>
      </c>
      <c r="D101" s="4" t="s">
        <v>171</v>
      </c>
      <c r="E101" s="27" t="s">
        <v>257</v>
      </c>
    </row>
    <row r="102" spans="1:5" ht="12.75">
      <c r="A102" s="23" t="s">
        <v>89</v>
      </c>
      <c r="B102" s="4" t="s">
        <v>227</v>
      </c>
      <c r="C102" s="4" t="s">
        <v>240</v>
      </c>
      <c r="D102" s="4" t="s">
        <v>95</v>
      </c>
      <c r="E102" s="27" t="s">
        <v>258</v>
      </c>
    </row>
    <row r="103" spans="1:5" ht="12.75">
      <c r="A103" s="23" t="s">
        <v>194</v>
      </c>
      <c r="B103" s="4" t="s">
        <v>227</v>
      </c>
      <c r="C103" s="4" t="s">
        <v>245</v>
      </c>
      <c r="D103" s="4" t="s">
        <v>140</v>
      </c>
      <c r="E103" s="27" t="s">
        <v>259</v>
      </c>
    </row>
    <row r="104" spans="1:5" ht="12.75">
      <c r="A104" s="23" t="s">
        <v>66</v>
      </c>
      <c r="B104" s="4" t="s">
        <v>227</v>
      </c>
      <c r="C104" s="4" t="s">
        <v>228</v>
      </c>
      <c r="D104" s="4" t="s">
        <v>64</v>
      </c>
      <c r="E104" s="27" t="s">
        <v>260</v>
      </c>
    </row>
    <row r="105" spans="1:5" ht="12.75">
      <c r="A105" s="23" t="s">
        <v>125</v>
      </c>
      <c r="B105" s="4" t="s">
        <v>227</v>
      </c>
      <c r="C105" s="4" t="s">
        <v>237</v>
      </c>
      <c r="D105" s="4" t="s">
        <v>130</v>
      </c>
      <c r="E105" s="27" t="s">
        <v>261</v>
      </c>
    </row>
    <row r="106" spans="1:5" ht="12.75">
      <c r="A106" s="23" t="s">
        <v>97</v>
      </c>
      <c r="B106" s="4" t="s">
        <v>227</v>
      </c>
      <c r="C106" s="4" t="s">
        <v>240</v>
      </c>
      <c r="D106" s="4" t="s">
        <v>64</v>
      </c>
      <c r="E106" s="27" t="s">
        <v>262</v>
      </c>
    </row>
    <row r="107" spans="1:5" ht="12.75">
      <c r="A107" s="23" t="s">
        <v>131</v>
      </c>
      <c r="B107" s="4" t="s">
        <v>227</v>
      </c>
      <c r="C107" s="4" t="s">
        <v>237</v>
      </c>
      <c r="D107" s="4" t="s">
        <v>64</v>
      </c>
      <c r="E107" s="27" t="s">
        <v>263</v>
      </c>
    </row>
    <row r="109" spans="1:2" ht="14.25">
      <c r="A109" s="24"/>
      <c r="B109" s="25" t="s">
        <v>264</v>
      </c>
    </row>
    <row r="110" spans="1:5" ht="15">
      <c r="A110" s="26" t="s">
        <v>219</v>
      </c>
      <c r="B110" s="26" t="s">
        <v>220</v>
      </c>
      <c r="C110" s="26" t="s">
        <v>221</v>
      </c>
      <c r="D110" s="26" t="s">
        <v>222</v>
      </c>
      <c r="E110" s="26" t="s">
        <v>223</v>
      </c>
    </row>
    <row r="111" spans="1:5" ht="12.75">
      <c r="A111" s="23" t="s">
        <v>176</v>
      </c>
      <c r="B111" s="4" t="s">
        <v>265</v>
      </c>
      <c r="C111" s="4" t="s">
        <v>250</v>
      </c>
      <c r="D111" s="4" t="s">
        <v>179</v>
      </c>
      <c r="E111" s="27" t="s">
        <v>266</v>
      </c>
    </row>
    <row r="112" spans="1:5" ht="12.75">
      <c r="A112" s="23" t="s">
        <v>136</v>
      </c>
      <c r="B112" s="4" t="s">
        <v>267</v>
      </c>
      <c r="C112" s="4" t="s">
        <v>237</v>
      </c>
      <c r="D112" s="4" t="s">
        <v>141</v>
      </c>
      <c r="E112" s="27" t="s">
        <v>268</v>
      </c>
    </row>
    <row r="113" spans="1:5" ht="12.75">
      <c r="A113" s="23" t="s">
        <v>172</v>
      </c>
      <c r="B113" s="4" t="s">
        <v>267</v>
      </c>
      <c r="C113" s="4" t="s">
        <v>250</v>
      </c>
      <c r="D113" s="4" t="s">
        <v>175</v>
      </c>
      <c r="E113" s="27" t="s">
        <v>269</v>
      </c>
    </row>
    <row r="114" spans="1:5" ht="12.75">
      <c r="A114" s="23" t="s">
        <v>213</v>
      </c>
      <c r="B114" s="4" t="s">
        <v>270</v>
      </c>
      <c r="C114" s="4" t="s">
        <v>271</v>
      </c>
      <c r="D114" s="4" t="s">
        <v>154</v>
      </c>
      <c r="E114" s="27" t="s">
        <v>272</v>
      </c>
    </row>
    <row r="115" spans="1:5" ht="12.75">
      <c r="A115" s="23" t="s">
        <v>103</v>
      </c>
      <c r="B115" s="4" t="s">
        <v>267</v>
      </c>
      <c r="C115" s="4" t="s">
        <v>240</v>
      </c>
      <c r="D115" s="4" t="s">
        <v>108</v>
      </c>
      <c r="E115" s="27" t="s">
        <v>273</v>
      </c>
    </row>
  </sheetData>
  <sheetProtection/>
  <mergeCells count="24">
    <mergeCell ref="A39:L39"/>
    <mergeCell ref="A48:L48"/>
    <mergeCell ref="A53:L53"/>
    <mergeCell ref="A57:L57"/>
    <mergeCell ref="A14:L14"/>
    <mergeCell ref="A17:L17"/>
    <mergeCell ref="A20:L20"/>
    <mergeCell ref="A23:L23"/>
    <mergeCell ref="A30:L30"/>
    <mergeCell ref="A33:L33"/>
    <mergeCell ref="A11:L11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  <mergeCell ref="A8:L8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E8" sqref="E8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4" width="10.625" style="4" bestFit="1" customWidth="1"/>
    <col min="5" max="5" width="22.75390625" style="4" bestFit="1" customWidth="1"/>
    <col min="6" max="6" width="29.875" style="4" bestFit="1" customWidth="1"/>
    <col min="7" max="7" width="5.625" style="3" bestFit="1" customWidth="1"/>
    <col min="8" max="8" width="4.625" style="29" bestFit="1" customWidth="1"/>
    <col min="9" max="9" width="7.875" style="4" bestFit="1" customWidth="1"/>
    <col min="10" max="10" width="7.625" style="3" bestFit="1" customWidth="1"/>
    <col min="11" max="11" width="8.875" style="4" bestFit="1" customWidth="1"/>
    <col min="12" max="16384" width="9.125" style="3" customWidth="1"/>
  </cols>
  <sheetData>
    <row r="1" spans="1:11" s="2" customFormat="1" ht="28.5" customHeight="1">
      <c r="A1" s="52" t="s">
        <v>509</v>
      </c>
      <c r="B1" s="40"/>
      <c r="C1" s="40"/>
      <c r="D1" s="40"/>
      <c r="E1" s="40"/>
      <c r="F1" s="40"/>
      <c r="G1" s="40"/>
      <c r="H1" s="40"/>
      <c r="I1" s="40"/>
      <c r="J1" s="40"/>
      <c r="K1" s="41"/>
    </row>
    <row r="2" spans="1:11" s="2" customFormat="1" ht="61.5" customHeight="1" thickBot="1">
      <c r="A2" s="42"/>
      <c r="B2" s="43"/>
      <c r="C2" s="43"/>
      <c r="D2" s="43"/>
      <c r="E2" s="43"/>
      <c r="F2" s="43"/>
      <c r="G2" s="43"/>
      <c r="H2" s="43"/>
      <c r="I2" s="43"/>
      <c r="J2" s="43"/>
      <c r="K2" s="44"/>
    </row>
    <row r="3" spans="1:11" s="1" customFormat="1" ht="12.75" customHeight="1">
      <c r="A3" s="45" t="s">
        <v>0</v>
      </c>
      <c r="B3" s="47" t="s">
        <v>10</v>
      </c>
      <c r="C3" s="47" t="s">
        <v>11</v>
      </c>
      <c r="D3" s="49" t="s">
        <v>404</v>
      </c>
      <c r="E3" s="49" t="s">
        <v>7</v>
      </c>
      <c r="F3" s="49" t="s">
        <v>12</v>
      </c>
      <c r="G3" s="49" t="s">
        <v>425</v>
      </c>
      <c r="H3" s="49"/>
      <c r="I3" s="49" t="s">
        <v>381</v>
      </c>
      <c r="J3" s="49" t="s">
        <v>6</v>
      </c>
      <c r="K3" s="37" t="s">
        <v>5</v>
      </c>
    </row>
    <row r="4" spans="1:11" s="1" customFormat="1" ht="21" customHeight="1" thickBot="1">
      <c r="A4" s="46"/>
      <c r="B4" s="48"/>
      <c r="C4" s="48"/>
      <c r="D4" s="48"/>
      <c r="E4" s="48"/>
      <c r="F4" s="48"/>
      <c r="G4" s="7" t="s">
        <v>379</v>
      </c>
      <c r="H4" s="28" t="s">
        <v>380</v>
      </c>
      <c r="I4" s="48"/>
      <c r="J4" s="48"/>
      <c r="K4" s="38"/>
    </row>
    <row r="5" spans="1:10" ht="15">
      <c r="A5" s="53" t="s">
        <v>406</v>
      </c>
      <c r="B5" s="54"/>
      <c r="C5" s="54"/>
      <c r="D5" s="54"/>
      <c r="E5" s="54"/>
      <c r="F5" s="54"/>
      <c r="G5" s="54"/>
      <c r="H5" s="54"/>
      <c r="I5" s="54"/>
      <c r="J5" s="54"/>
    </row>
    <row r="6" spans="1:11" ht="12.75">
      <c r="A6" s="13" t="s">
        <v>490</v>
      </c>
      <c r="B6" s="13" t="s">
        <v>491</v>
      </c>
      <c r="C6" s="13" t="s">
        <v>170</v>
      </c>
      <c r="D6" s="13" t="str">
        <f>"1,0000"</f>
        <v>1,0000</v>
      </c>
      <c r="E6" s="13" t="s">
        <v>514</v>
      </c>
      <c r="F6" s="13" t="s">
        <v>38</v>
      </c>
      <c r="G6" s="15" t="s">
        <v>321</v>
      </c>
      <c r="H6" s="31" t="s">
        <v>492</v>
      </c>
      <c r="I6" s="13" t="str">
        <f>"4000,0"</f>
        <v>4000,0</v>
      </c>
      <c r="J6" s="15" t="str">
        <f>"42,1052"</f>
        <v>42,1052</v>
      </c>
      <c r="K6" s="13" t="s">
        <v>32</v>
      </c>
    </row>
    <row r="7" spans="1:11" ht="12.75">
      <c r="A7" s="19" t="s">
        <v>494</v>
      </c>
      <c r="B7" s="19" t="s">
        <v>495</v>
      </c>
      <c r="C7" s="19" t="s">
        <v>496</v>
      </c>
      <c r="D7" s="19" t="str">
        <f>"1,0000"</f>
        <v>1,0000</v>
      </c>
      <c r="E7" s="19" t="s">
        <v>514</v>
      </c>
      <c r="F7" s="19" t="s">
        <v>38</v>
      </c>
      <c r="G7" s="21" t="s">
        <v>321</v>
      </c>
      <c r="H7" s="32" t="s">
        <v>497</v>
      </c>
      <c r="I7" s="19" t="str">
        <f>"2800,0"</f>
        <v>2800,0</v>
      </c>
      <c r="J7" s="21" t="str">
        <f>"34,5679"</f>
        <v>34,5679</v>
      </c>
      <c r="K7" s="19" t="s">
        <v>32</v>
      </c>
    </row>
    <row r="9" ht="15">
      <c r="E9" s="8" t="s">
        <v>13</v>
      </c>
    </row>
    <row r="10" ht="15">
      <c r="E10" s="8" t="s">
        <v>14</v>
      </c>
    </row>
    <row r="11" ht="15">
      <c r="E11" s="8" t="s">
        <v>15</v>
      </c>
    </row>
    <row r="12" ht="15">
      <c r="E12" s="8" t="s">
        <v>16</v>
      </c>
    </row>
    <row r="13" ht="15">
      <c r="E13" s="8" t="s">
        <v>16</v>
      </c>
    </row>
    <row r="14" ht="15">
      <c r="E14" s="8" t="s">
        <v>17</v>
      </c>
    </row>
    <row r="15" ht="15">
      <c r="E15" s="8"/>
    </row>
    <row r="17" spans="1:2" ht="18">
      <c r="A17" s="9" t="s">
        <v>18</v>
      </c>
      <c r="B17" s="9"/>
    </row>
    <row r="18" spans="1:2" ht="15">
      <c r="A18" s="22" t="s">
        <v>232</v>
      </c>
      <c r="B18" s="22"/>
    </row>
    <row r="19" spans="1:2" ht="14.25">
      <c r="A19" s="24"/>
      <c r="B19" s="25" t="s">
        <v>227</v>
      </c>
    </row>
    <row r="20" spans="1:5" ht="15">
      <c r="A20" s="26" t="s">
        <v>219</v>
      </c>
      <c r="B20" s="26" t="s">
        <v>220</v>
      </c>
      <c r="C20" s="26" t="s">
        <v>221</v>
      </c>
      <c r="D20" s="26" t="s">
        <v>222</v>
      </c>
      <c r="E20" s="26" t="s">
        <v>408</v>
      </c>
    </row>
    <row r="21" spans="1:5" ht="12.75">
      <c r="A21" s="23" t="s">
        <v>489</v>
      </c>
      <c r="B21" s="4" t="s">
        <v>227</v>
      </c>
      <c r="C21" s="4" t="s">
        <v>409</v>
      </c>
      <c r="D21" s="4" t="s">
        <v>498</v>
      </c>
      <c r="E21" s="27" t="s">
        <v>499</v>
      </c>
    </row>
    <row r="22" spans="1:5" ht="12.75">
      <c r="A22" s="23" t="s">
        <v>493</v>
      </c>
      <c r="B22" s="4" t="s">
        <v>227</v>
      </c>
      <c r="C22" s="4" t="s">
        <v>409</v>
      </c>
      <c r="D22" s="4" t="s">
        <v>500</v>
      </c>
      <c r="E22" s="27" t="s">
        <v>501</v>
      </c>
    </row>
  </sheetData>
  <sheetProtection/>
  <mergeCells count="12">
    <mergeCell ref="I3:I4"/>
    <mergeCell ref="J3:J4"/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E11" sqref="E11"/>
    </sheetView>
  </sheetViews>
  <sheetFormatPr defaultColWidth="9.00390625" defaultRowHeight="12.75"/>
  <cols>
    <col min="1" max="1" width="26.00390625" style="4" bestFit="1" customWidth="1"/>
    <col min="2" max="2" width="28.375" style="4" bestFit="1" customWidth="1"/>
    <col min="3" max="4" width="10.625" style="4" bestFit="1" customWidth="1"/>
    <col min="5" max="5" width="22.75390625" style="4" bestFit="1" customWidth="1"/>
    <col min="6" max="6" width="32.25390625" style="4" bestFit="1" customWidth="1"/>
    <col min="7" max="7" width="5.625" style="3" bestFit="1" customWidth="1"/>
    <col min="8" max="8" width="11.625" style="29" customWidth="1"/>
    <col min="9" max="9" width="7.875" style="4" bestFit="1" customWidth="1"/>
    <col min="10" max="10" width="7.625" style="3" bestFit="1" customWidth="1"/>
    <col min="11" max="11" width="11.625" style="4" bestFit="1" customWidth="1"/>
    <col min="12" max="16384" width="9.125" style="3" customWidth="1"/>
  </cols>
  <sheetData>
    <row r="1" spans="1:11" s="2" customFormat="1" ht="28.5" customHeight="1">
      <c r="A1" s="52" t="s">
        <v>508</v>
      </c>
      <c r="B1" s="40"/>
      <c r="C1" s="40"/>
      <c r="D1" s="40"/>
      <c r="E1" s="40"/>
      <c r="F1" s="40"/>
      <c r="G1" s="40"/>
      <c r="H1" s="40"/>
      <c r="I1" s="40"/>
      <c r="J1" s="40"/>
      <c r="K1" s="41"/>
    </row>
    <row r="2" spans="1:11" s="2" customFormat="1" ht="61.5" customHeight="1" thickBot="1">
      <c r="A2" s="42"/>
      <c r="B2" s="43"/>
      <c r="C2" s="43"/>
      <c r="D2" s="43"/>
      <c r="E2" s="43"/>
      <c r="F2" s="43"/>
      <c r="G2" s="43"/>
      <c r="H2" s="43"/>
      <c r="I2" s="43"/>
      <c r="J2" s="43"/>
      <c r="K2" s="44"/>
    </row>
    <row r="3" spans="1:11" s="1" customFormat="1" ht="12.75" customHeight="1">
      <c r="A3" s="45" t="s">
        <v>0</v>
      </c>
      <c r="B3" s="47" t="s">
        <v>10</v>
      </c>
      <c r="C3" s="47" t="s">
        <v>11</v>
      </c>
      <c r="D3" s="49" t="s">
        <v>404</v>
      </c>
      <c r="E3" s="49" t="s">
        <v>7</v>
      </c>
      <c r="F3" s="49" t="s">
        <v>12</v>
      </c>
      <c r="G3" s="49" t="s">
        <v>425</v>
      </c>
      <c r="H3" s="49"/>
      <c r="I3" s="49" t="s">
        <v>381</v>
      </c>
      <c r="J3" s="49" t="s">
        <v>6</v>
      </c>
      <c r="K3" s="37" t="s">
        <v>5</v>
      </c>
    </row>
    <row r="4" spans="1:11" s="1" customFormat="1" ht="21" customHeight="1" thickBot="1">
      <c r="A4" s="46"/>
      <c r="B4" s="48"/>
      <c r="C4" s="48"/>
      <c r="D4" s="48"/>
      <c r="E4" s="48"/>
      <c r="F4" s="48"/>
      <c r="G4" s="7" t="s">
        <v>379</v>
      </c>
      <c r="H4" s="28" t="s">
        <v>380</v>
      </c>
      <c r="I4" s="48"/>
      <c r="J4" s="48"/>
      <c r="K4" s="38"/>
    </row>
    <row r="5" spans="1:10" ht="15">
      <c r="A5" s="53" t="s">
        <v>406</v>
      </c>
      <c r="B5" s="54"/>
      <c r="C5" s="54"/>
      <c r="D5" s="54"/>
      <c r="E5" s="54"/>
      <c r="F5" s="54"/>
      <c r="G5" s="54"/>
      <c r="H5" s="54"/>
      <c r="I5" s="54"/>
      <c r="J5" s="54"/>
    </row>
    <row r="6" spans="1:11" ht="12.75">
      <c r="A6" s="13" t="s">
        <v>452</v>
      </c>
      <c r="B6" s="13" t="s">
        <v>453</v>
      </c>
      <c r="C6" s="13" t="s">
        <v>100</v>
      </c>
      <c r="D6" s="13" t="str">
        <f aca="true" t="shared" si="0" ref="D6:D13">"1,0000"</f>
        <v>1,0000</v>
      </c>
      <c r="E6" s="13" t="s">
        <v>454</v>
      </c>
      <c r="F6" s="13" t="s">
        <v>38</v>
      </c>
      <c r="G6" s="15" t="s">
        <v>102</v>
      </c>
      <c r="H6" s="31" t="s">
        <v>455</v>
      </c>
      <c r="I6" s="13" t="str">
        <f>"4700,0"</f>
        <v>4700,0</v>
      </c>
      <c r="J6" s="15" t="str">
        <f>"62,6666"</f>
        <v>62,6666</v>
      </c>
      <c r="K6" s="13" t="s">
        <v>430</v>
      </c>
    </row>
    <row r="7" spans="1:11" ht="12.75">
      <c r="A7" s="16" t="s">
        <v>457</v>
      </c>
      <c r="B7" s="16" t="s">
        <v>458</v>
      </c>
      <c r="C7" s="16" t="s">
        <v>459</v>
      </c>
      <c r="D7" s="16" t="str">
        <f t="shared" si="0"/>
        <v>1,0000</v>
      </c>
      <c r="E7" s="16" t="s">
        <v>454</v>
      </c>
      <c r="F7" s="16" t="s">
        <v>38</v>
      </c>
      <c r="G7" s="18" t="s">
        <v>102</v>
      </c>
      <c r="H7" s="33" t="s">
        <v>460</v>
      </c>
      <c r="I7" s="16" t="str">
        <f>"3600,0"</f>
        <v>3600,0</v>
      </c>
      <c r="J7" s="18" t="str">
        <f>"48,5829"</f>
        <v>48,5829</v>
      </c>
      <c r="K7" s="16" t="s">
        <v>430</v>
      </c>
    </row>
    <row r="8" spans="1:11" ht="12.75">
      <c r="A8" s="16" t="s">
        <v>461</v>
      </c>
      <c r="B8" s="16" t="s">
        <v>462</v>
      </c>
      <c r="C8" s="16" t="s">
        <v>463</v>
      </c>
      <c r="D8" s="16" t="str">
        <f t="shared" si="0"/>
        <v>1,0000</v>
      </c>
      <c r="E8" s="16" t="s">
        <v>454</v>
      </c>
      <c r="F8" s="16" t="s">
        <v>38</v>
      </c>
      <c r="G8" s="17" t="s">
        <v>102</v>
      </c>
      <c r="H8" s="34"/>
      <c r="I8" s="16" t="str">
        <f>"0.00"</f>
        <v>0.00</v>
      </c>
      <c r="J8" s="18" t="str">
        <f>"0,0000"</f>
        <v>0,0000</v>
      </c>
      <c r="K8" s="16" t="s">
        <v>430</v>
      </c>
    </row>
    <row r="9" spans="1:11" ht="12.75">
      <c r="A9" s="16" t="s">
        <v>465</v>
      </c>
      <c r="B9" s="16" t="s">
        <v>466</v>
      </c>
      <c r="C9" s="16" t="s">
        <v>467</v>
      </c>
      <c r="D9" s="16" t="str">
        <f t="shared" si="0"/>
        <v>1,0000</v>
      </c>
      <c r="E9" s="16" t="s">
        <v>454</v>
      </c>
      <c r="F9" s="16" t="s">
        <v>38</v>
      </c>
      <c r="G9" s="18" t="s">
        <v>102</v>
      </c>
      <c r="H9" s="33" t="s">
        <v>48</v>
      </c>
      <c r="I9" s="16" t="str">
        <f>"8000,0"</f>
        <v>8000,0</v>
      </c>
      <c r="J9" s="18" t="str">
        <f>"82,9015"</f>
        <v>82,9015</v>
      </c>
      <c r="K9" s="16" t="s">
        <v>32</v>
      </c>
    </row>
    <row r="10" spans="1:11" ht="12.75">
      <c r="A10" s="16" t="s">
        <v>468</v>
      </c>
      <c r="B10" s="16" t="s">
        <v>319</v>
      </c>
      <c r="C10" s="16" t="s">
        <v>320</v>
      </c>
      <c r="D10" s="16" t="str">
        <f t="shared" si="0"/>
        <v>1,0000</v>
      </c>
      <c r="E10" s="16" t="s">
        <v>27</v>
      </c>
      <c r="F10" s="16" t="s">
        <v>101</v>
      </c>
      <c r="G10" s="18" t="s">
        <v>102</v>
      </c>
      <c r="H10" s="33" t="s">
        <v>469</v>
      </c>
      <c r="I10" s="16" t="str">
        <f>"3900,0"</f>
        <v>3900,0</v>
      </c>
      <c r="J10" s="18" t="str">
        <f>"53,7931"</f>
        <v>53,7931</v>
      </c>
      <c r="K10" s="16" t="s">
        <v>32</v>
      </c>
    </row>
    <row r="11" spans="1:11" ht="12.75">
      <c r="A11" s="16" t="s">
        <v>471</v>
      </c>
      <c r="B11" s="16" t="s">
        <v>472</v>
      </c>
      <c r="C11" s="16" t="s">
        <v>100</v>
      </c>
      <c r="D11" s="16" t="str">
        <f t="shared" si="0"/>
        <v>1,0000</v>
      </c>
      <c r="E11" s="16" t="s">
        <v>454</v>
      </c>
      <c r="F11" s="16" t="s">
        <v>38</v>
      </c>
      <c r="G11" s="18" t="s">
        <v>102</v>
      </c>
      <c r="H11" s="33" t="s">
        <v>29</v>
      </c>
      <c r="I11" s="16" t="str">
        <f>"3500,0"</f>
        <v>3500,0</v>
      </c>
      <c r="J11" s="18" t="str">
        <f>"46,6666"</f>
        <v>46,6666</v>
      </c>
      <c r="K11" s="16" t="s">
        <v>430</v>
      </c>
    </row>
    <row r="12" spans="1:11" ht="12.75">
      <c r="A12" s="16" t="s">
        <v>473</v>
      </c>
      <c r="B12" s="16" t="s">
        <v>309</v>
      </c>
      <c r="C12" s="16" t="s">
        <v>310</v>
      </c>
      <c r="D12" s="16" t="str">
        <f t="shared" si="0"/>
        <v>1,0000</v>
      </c>
      <c r="E12" s="16" t="s">
        <v>27</v>
      </c>
      <c r="F12" s="16" t="s">
        <v>38</v>
      </c>
      <c r="G12" s="18" t="s">
        <v>102</v>
      </c>
      <c r="H12" s="33" t="s">
        <v>474</v>
      </c>
      <c r="I12" s="16" t="str">
        <f>"2500,0"</f>
        <v>2500,0</v>
      </c>
      <c r="J12" s="18" t="str">
        <f>"37,4251"</f>
        <v>37,4251</v>
      </c>
      <c r="K12" s="16" t="s">
        <v>32</v>
      </c>
    </row>
    <row r="13" spans="1:11" ht="12.75">
      <c r="A13" s="19" t="s">
        <v>475</v>
      </c>
      <c r="B13" s="19" t="s">
        <v>335</v>
      </c>
      <c r="C13" s="19" t="s">
        <v>332</v>
      </c>
      <c r="D13" s="19" t="str">
        <f t="shared" si="0"/>
        <v>1,0000</v>
      </c>
      <c r="E13" s="19" t="s">
        <v>27</v>
      </c>
      <c r="F13" s="19" t="s">
        <v>300</v>
      </c>
      <c r="G13" s="21" t="s">
        <v>102</v>
      </c>
      <c r="H13" s="32" t="s">
        <v>474</v>
      </c>
      <c r="I13" s="19" t="str">
        <f>"2500,0"</f>
        <v>2500,0</v>
      </c>
      <c r="J13" s="21" t="str">
        <f>"30,5997"</f>
        <v>30,5997</v>
      </c>
      <c r="K13" s="19" t="s">
        <v>32</v>
      </c>
    </row>
    <row r="15" ht="15">
      <c r="E15" s="8" t="s">
        <v>13</v>
      </c>
    </row>
    <row r="16" ht="15">
      <c r="E16" s="8" t="s">
        <v>14</v>
      </c>
    </row>
    <row r="17" ht="15">
      <c r="E17" s="8" t="s">
        <v>15</v>
      </c>
    </row>
    <row r="18" ht="15">
      <c r="E18" s="8" t="s">
        <v>16</v>
      </c>
    </row>
    <row r="19" ht="15">
      <c r="E19" s="8" t="s">
        <v>16</v>
      </c>
    </row>
    <row r="20" ht="15">
      <c r="E20" s="8" t="s">
        <v>17</v>
      </c>
    </row>
    <row r="21" ht="15">
      <c r="E21" s="8"/>
    </row>
    <row r="23" spans="1:2" ht="18">
      <c r="A23" s="9" t="s">
        <v>18</v>
      </c>
      <c r="B23" s="9"/>
    </row>
    <row r="24" spans="1:2" ht="15">
      <c r="A24" s="22" t="s">
        <v>232</v>
      </c>
      <c r="B24" s="22"/>
    </row>
    <row r="25" spans="1:2" ht="14.25">
      <c r="A25" s="24"/>
      <c r="B25" s="25" t="s">
        <v>361</v>
      </c>
    </row>
    <row r="26" spans="1:5" ht="15">
      <c r="A26" s="26" t="s">
        <v>219</v>
      </c>
      <c r="B26" s="26" t="s">
        <v>220</v>
      </c>
      <c r="C26" s="26" t="s">
        <v>221</v>
      </c>
      <c r="D26" s="26" t="s">
        <v>222</v>
      </c>
      <c r="E26" s="26" t="s">
        <v>408</v>
      </c>
    </row>
    <row r="27" spans="1:5" ht="12.75">
      <c r="A27" s="23" t="s">
        <v>451</v>
      </c>
      <c r="B27" s="4" t="s">
        <v>362</v>
      </c>
      <c r="C27" s="4" t="s">
        <v>409</v>
      </c>
      <c r="D27" s="4" t="s">
        <v>476</v>
      </c>
      <c r="E27" s="27" t="s">
        <v>477</v>
      </c>
    </row>
    <row r="28" spans="1:5" ht="12.75">
      <c r="A28" s="23" t="s">
        <v>456</v>
      </c>
      <c r="B28" s="4" t="s">
        <v>362</v>
      </c>
      <c r="C28" s="4" t="s">
        <v>409</v>
      </c>
      <c r="D28" s="4" t="s">
        <v>478</v>
      </c>
      <c r="E28" s="27" t="s">
        <v>479</v>
      </c>
    </row>
    <row r="30" spans="1:2" ht="14.25">
      <c r="A30" s="24"/>
      <c r="B30" s="25" t="s">
        <v>227</v>
      </c>
    </row>
    <row r="31" spans="1:5" ht="15">
      <c r="A31" s="26" t="s">
        <v>219</v>
      </c>
      <c r="B31" s="26" t="s">
        <v>220</v>
      </c>
      <c r="C31" s="26" t="s">
        <v>221</v>
      </c>
      <c r="D31" s="26" t="s">
        <v>222</v>
      </c>
      <c r="E31" s="26" t="s">
        <v>408</v>
      </c>
    </row>
    <row r="32" spans="1:5" ht="12.75">
      <c r="A32" s="23" t="s">
        <v>464</v>
      </c>
      <c r="B32" s="4" t="s">
        <v>227</v>
      </c>
      <c r="C32" s="4" t="s">
        <v>409</v>
      </c>
      <c r="D32" s="4" t="s">
        <v>480</v>
      </c>
      <c r="E32" s="27" t="s">
        <v>481</v>
      </c>
    </row>
    <row r="33" spans="1:5" ht="12.75">
      <c r="A33" s="23" t="s">
        <v>317</v>
      </c>
      <c r="B33" s="4" t="s">
        <v>227</v>
      </c>
      <c r="C33" s="4" t="s">
        <v>409</v>
      </c>
      <c r="D33" s="4" t="s">
        <v>482</v>
      </c>
      <c r="E33" s="27" t="s">
        <v>483</v>
      </c>
    </row>
    <row r="34" spans="1:5" ht="12.75">
      <c r="A34" s="23" t="s">
        <v>470</v>
      </c>
      <c r="B34" s="4" t="s">
        <v>227</v>
      </c>
      <c r="C34" s="4" t="s">
        <v>409</v>
      </c>
      <c r="D34" s="4" t="s">
        <v>484</v>
      </c>
      <c r="E34" s="27" t="s">
        <v>485</v>
      </c>
    </row>
    <row r="35" spans="1:5" ht="12.75">
      <c r="A35" s="23" t="s">
        <v>307</v>
      </c>
      <c r="B35" s="4" t="s">
        <v>227</v>
      </c>
      <c r="C35" s="4" t="s">
        <v>409</v>
      </c>
      <c r="D35" s="4" t="s">
        <v>486</v>
      </c>
      <c r="E35" s="27" t="s">
        <v>487</v>
      </c>
    </row>
    <row r="36" spans="1:5" ht="12.75">
      <c r="A36" s="23" t="s">
        <v>333</v>
      </c>
      <c r="B36" s="4" t="s">
        <v>227</v>
      </c>
      <c r="C36" s="4" t="s">
        <v>409</v>
      </c>
      <c r="D36" s="4" t="s">
        <v>486</v>
      </c>
      <c r="E36" s="27" t="s">
        <v>488</v>
      </c>
    </row>
  </sheetData>
  <sheetProtection/>
  <mergeCells count="12">
    <mergeCell ref="I3:I4"/>
    <mergeCell ref="J3:J4"/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26.00390625" style="4" bestFit="1" customWidth="1"/>
    <col min="2" max="2" width="29.00390625" style="4" bestFit="1" customWidth="1"/>
    <col min="3" max="4" width="10.625" style="4" bestFit="1" customWidth="1"/>
    <col min="5" max="5" width="14.875" style="4" customWidth="1"/>
    <col min="6" max="6" width="29.875" style="4" bestFit="1" customWidth="1"/>
    <col min="7" max="7" width="15.625" style="3" customWidth="1"/>
    <col min="8" max="8" width="17.75390625" style="29" customWidth="1"/>
    <col min="9" max="9" width="7.875" style="4" bestFit="1" customWidth="1"/>
    <col min="10" max="10" width="8.625" style="3" bestFit="1" customWidth="1"/>
    <col min="11" max="11" width="12.125" style="4" bestFit="1" customWidth="1"/>
    <col min="12" max="16384" width="9.125" style="3" customWidth="1"/>
  </cols>
  <sheetData>
    <row r="1" spans="1:11" s="2" customFormat="1" ht="28.5" customHeight="1">
      <c r="A1" s="52" t="s">
        <v>507</v>
      </c>
      <c r="B1" s="40"/>
      <c r="C1" s="40"/>
      <c r="D1" s="40"/>
      <c r="E1" s="40"/>
      <c r="F1" s="40"/>
      <c r="G1" s="40"/>
      <c r="H1" s="40"/>
      <c r="I1" s="40"/>
      <c r="J1" s="40"/>
      <c r="K1" s="41"/>
    </row>
    <row r="2" spans="1:11" s="2" customFormat="1" ht="61.5" customHeight="1" thickBot="1">
      <c r="A2" s="42"/>
      <c r="B2" s="43"/>
      <c r="C2" s="43"/>
      <c r="D2" s="43"/>
      <c r="E2" s="43"/>
      <c r="F2" s="43"/>
      <c r="G2" s="43"/>
      <c r="H2" s="43"/>
      <c r="I2" s="43"/>
      <c r="J2" s="43"/>
      <c r="K2" s="44"/>
    </row>
    <row r="3" spans="1:11" s="1" customFormat="1" ht="12.75" customHeight="1">
      <c r="A3" s="45" t="s">
        <v>0</v>
      </c>
      <c r="B3" s="47" t="s">
        <v>10</v>
      </c>
      <c r="C3" s="47" t="s">
        <v>11</v>
      </c>
      <c r="D3" s="49" t="s">
        <v>404</v>
      </c>
      <c r="E3" s="49" t="s">
        <v>7</v>
      </c>
      <c r="F3" s="49" t="s">
        <v>12</v>
      </c>
      <c r="G3" s="49" t="s">
        <v>425</v>
      </c>
      <c r="H3" s="49"/>
      <c r="I3" s="49" t="s">
        <v>381</v>
      </c>
      <c r="J3" s="49" t="s">
        <v>6</v>
      </c>
      <c r="K3" s="37" t="s">
        <v>5</v>
      </c>
    </row>
    <row r="4" spans="1:11" s="1" customFormat="1" ht="21" customHeight="1" thickBot="1">
      <c r="A4" s="46"/>
      <c r="B4" s="48"/>
      <c r="C4" s="48"/>
      <c r="D4" s="48"/>
      <c r="E4" s="48"/>
      <c r="F4" s="48"/>
      <c r="G4" s="7" t="s">
        <v>379</v>
      </c>
      <c r="H4" s="28" t="s">
        <v>380</v>
      </c>
      <c r="I4" s="48"/>
      <c r="J4" s="48"/>
      <c r="K4" s="38"/>
    </row>
    <row r="5" spans="1:10" ht="15">
      <c r="A5" s="53" t="s">
        <v>406</v>
      </c>
      <c r="B5" s="54"/>
      <c r="C5" s="54"/>
      <c r="D5" s="54"/>
      <c r="E5" s="54"/>
      <c r="F5" s="54"/>
      <c r="G5" s="54"/>
      <c r="H5" s="54"/>
      <c r="I5" s="54"/>
      <c r="J5" s="54"/>
    </row>
    <row r="6" spans="1:11" ht="12.75">
      <c r="A6" s="13" t="s">
        <v>427</v>
      </c>
      <c r="B6" s="13" t="s">
        <v>428</v>
      </c>
      <c r="C6" s="13" t="s">
        <v>429</v>
      </c>
      <c r="D6" s="13" t="str">
        <f>"1,0000"</f>
        <v>1,0000</v>
      </c>
      <c r="E6" s="13" t="s">
        <v>513</v>
      </c>
      <c r="F6" s="13" t="s">
        <v>38</v>
      </c>
      <c r="G6" s="15" t="s">
        <v>398</v>
      </c>
      <c r="H6" s="31">
        <v>34</v>
      </c>
      <c r="I6" s="13" t="str">
        <f>"1595,0"</f>
        <v>1595,0</v>
      </c>
      <c r="J6" s="15" t="str">
        <f>"22,1527"</f>
        <v>22,1527</v>
      </c>
      <c r="K6" s="13" t="s">
        <v>430</v>
      </c>
    </row>
    <row r="7" spans="1:11" ht="12.75">
      <c r="A7" s="16" t="s">
        <v>432</v>
      </c>
      <c r="B7" s="16" t="s">
        <v>433</v>
      </c>
      <c r="C7" s="16" t="s">
        <v>434</v>
      </c>
      <c r="D7" s="16" t="str">
        <f>"1,0000"</f>
        <v>1,0000</v>
      </c>
      <c r="E7" s="16" t="s">
        <v>514</v>
      </c>
      <c r="F7" s="16" t="s">
        <v>38</v>
      </c>
      <c r="G7" s="18" t="s">
        <v>398</v>
      </c>
      <c r="H7" s="33" t="s">
        <v>118</v>
      </c>
      <c r="I7" s="16" t="str">
        <f>"8525,0"</f>
        <v>8525,0</v>
      </c>
      <c r="J7" s="18" t="str">
        <f>"131,1538"</f>
        <v>131,1538</v>
      </c>
      <c r="K7" s="16" t="s">
        <v>181</v>
      </c>
    </row>
    <row r="8" spans="1:11" ht="12.75">
      <c r="A8" s="16" t="s">
        <v>435</v>
      </c>
      <c r="B8" s="16" t="s">
        <v>298</v>
      </c>
      <c r="C8" s="16" t="s">
        <v>299</v>
      </c>
      <c r="D8" s="16" t="str">
        <f>"1,0000"</f>
        <v>1,0000</v>
      </c>
      <c r="E8" s="16" t="s">
        <v>27</v>
      </c>
      <c r="F8" s="16" t="s">
        <v>300</v>
      </c>
      <c r="G8" s="18" t="s">
        <v>398</v>
      </c>
      <c r="H8" s="33" t="s">
        <v>436</v>
      </c>
      <c r="I8" s="16" t="str">
        <f>"2970,0"</f>
        <v>2970,0</v>
      </c>
      <c r="J8" s="18" t="str">
        <f>"49,5000"</f>
        <v>49,5000</v>
      </c>
      <c r="K8" s="16" t="s">
        <v>32</v>
      </c>
    </row>
    <row r="9" spans="1:11" ht="12.75">
      <c r="A9" s="19" t="s">
        <v>438</v>
      </c>
      <c r="B9" s="19" t="s">
        <v>439</v>
      </c>
      <c r="C9" s="19" t="s">
        <v>440</v>
      </c>
      <c r="D9" s="19" t="str">
        <f>"1,0000"</f>
        <v>1,0000</v>
      </c>
      <c r="E9" s="19" t="s">
        <v>514</v>
      </c>
      <c r="F9" s="19" t="s">
        <v>38</v>
      </c>
      <c r="G9" s="21" t="s">
        <v>398</v>
      </c>
      <c r="H9" s="32" t="s">
        <v>441</v>
      </c>
      <c r="I9" s="19" t="str">
        <f>"2860,0"</f>
        <v>2860,0</v>
      </c>
      <c r="J9" s="21" t="str">
        <f>"48,3108"</f>
        <v>48,3108</v>
      </c>
      <c r="K9" s="19" t="s">
        <v>442</v>
      </c>
    </row>
    <row r="11" ht="15">
      <c r="E11" s="8" t="s">
        <v>13</v>
      </c>
    </row>
    <row r="12" ht="15">
      <c r="E12" s="8" t="s">
        <v>14</v>
      </c>
    </row>
    <row r="13" ht="15">
      <c r="E13" s="8" t="s">
        <v>15</v>
      </c>
    </row>
    <row r="14" ht="15">
      <c r="E14" s="8" t="s">
        <v>16</v>
      </c>
    </row>
    <row r="15" ht="15">
      <c r="E15" s="8" t="s">
        <v>16</v>
      </c>
    </row>
    <row r="16" ht="15">
      <c r="E16" s="8" t="s">
        <v>17</v>
      </c>
    </row>
    <row r="17" ht="15">
      <c r="E17" s="8"/>
    </row>
    <row r="19" spans="1:2" ht="18">
      <c r="A19" s="9" t="s">
        <v>18</v>
      </c>
      <c r="B19" s="9"/>
    </row>
    <row r="20" spans="1:2" ht="15">
      <c r="A20" s="22" t="s">
        <v>217</v>
      </c>
      <c r="B20" s="22"/>
    </row>
    <row r="21" spans="1:2" ht="14.25">
      <c r="A21" s="24"/>
      <c r="B21" s="25" t="s">
        <v>218</v>
      </c>
    </row>
    <row r="22" spans="1:5" ht="15">
      <c r="A22" s="26" t="s">
        <v>219</v>
      </c>
      <c r="B22" s="26" t="s">
        <v>220</v>
      </c>
      <c r="C22" s="26" t="s">
        <v>221</v>
      </c>
      <c r="D22" s="26" t="s">
        <v>222</v>
      </c>
      <c r="E22" s="26" t="s">
        <v>408</v>
      </c>
    </row>
    <row r="23" spans="1:5" ht="12.75">
      <c r="A23" s="23" t="s">
        <v>426</v>
      </c>
      <c r="B23" s="4" t="s">
        <v>234</v>
      </c>
      <c r="C23" s="4" t="s">
        <v>409</v>
      </c>
      <c r="D23" s="4" t="s">
        <v>443</v>
      </c>
      <c r="E23" s="27" t="s">
        <v>444</v>
      </c>
    </row>
    <row r="25" spans="1:2" ht="14.25">
      <c r="A25" s="24"/>
      <c r="B25" s="25" t="s">
        <v>227</v>
      </c>
    </row>
    <row r="26" spans="1:5" ht="15">
      <c r="A26" s="26" t="s">
        <v>219</v>
      </c>
      <c r="B26" s="26" t="s">
        <v>220</v>
      </c>
      <c r="C26" s="26" t="s">
        <v>221</v>
      </c>
      <c r="D26" s="26" t="s">
        <v>222</v>
      </c>
      <c r="E26" s="26" t="s">
        <v>408</v>
      </c>
    </row>
    <row r="27" spans="1:5" ht="12.75">
      <c r="A27" s="23" t="s">
        <v>431</v>
      </c>
      <c r="B27" s="4" t="s">
        <v>227</v>
      </c>
      <c r="C27" s="4" t="s">
        <v>409</v>
      </c>
      <c r="D27" s="4" t="s">
        <v>445</v>
      </c>
      <c r="E27" s="27" t="s">
        <v>446</v>
      </c>
    </row>
    <row r="28" spans="1:5" ht="12.75">
      <c r="A28" s="23" t="s">
        <v>296</v>
      </c>
      <c r="B28" s="4" t="s">
        <v>227</v>
      </c>
      <c r="C28" s="4" t="s">
        <v>409</v>
      </c>
      <c r="D28" s="4" t="s">
        <v>447</v>
      </c>
      <c r="E28" s="27" t="s">
        <v>448</v>
      </c>
    </row>
    <row r="29" spans="1:5" ht="12.75">
      <c r="A29" s="23" t="s">
        <v>437</v>
      </c>
      <c r="B29" s="4" t="s">
        <v>227</v>
      </c>
      <c r="C29" s="4" t="s">
        <v>409</v>
      </c>
      <c r="D29" s="4" t="s">
        <v>449</v>
      </c>
      <c r="E29" s="27" t="s">
        <v>450</v>
      </c>
    </row>
  </sheetData>
  <sheetProtection/>
  <mergeCells count="12">
    <mergeCell ref="I3:I4"/>
    <mergeCell ref="J3:J4"/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E9" sqref="E9"/>
    </sheetView>
  </sheetViews>
  <sheetFormatPr defaultColWidth="9.00390625" defaultRowHeight="12.75"/>
  <cols>
    <col min="1" max="1" width="26.00390625" style="4" bestFit="1" customWidth="1"/>
    <col min="2" max="2" width="28.625" style="4" bestFit="1" customWidth="1"/>
    <col min="3" max="4" width="10.625" style="4" bestFit="1" customWidth="1"/>
    <col min="5" max="5" width="25.25390625" style="4" bestFit="1" customWidth="1"/>
    <col min="6" max="6" width="38.25390625" style="4" bestFit="1" customWidth="1"/>
    <col min="7" max="7" width="9.00390625" style="3" customWidth="1"/>
    <col min="8" max="8" width="10.875" style="29" customWidth="1"/>
    <col min="9" max="9" width="7.875" style="4" bestFit="1" customWidth="1"/>
    <col min="10" max="10" width="7.625" style="3" bestFit="1" customWidth="1"/>
    <col min="11" max="11" width="8.875" style="4" bestFit="1" customWidth="1"/>
    <col min="12" max="16384" width="9.125" style="3" customWidth="1"/>
  </cols>
  <sheetData>
    <row r="1" spans="1:11" s="2" customFormat="1" ht="28.5" customHeight="1">
      <c r="A1" s="52" t="s">
        <v>506</v>
      </c>
      <c r="B1" s="40"/>
      <c r="C1" s="40"/>
      <c r="D1" s="40"/>
      <c r="E1" s="40"/>
      <c r="F1" s="40"/>
      <c r="G1" s="40"/>
      <c r="H1" s="40"/>
      <c r="I1" s="40"/>
      <c r="J1" s="40"/>
      <c r="K1" s="41"/>
    </row>
    <row r="2" spans="1:11" s="2" customFormat="1" ht="61.5" customHeight="1" thickBot="1">
      <c r="A2" s="42"/>
      <c r="B2" s="43"/>
      <c r="C2" s="43"/>
      <c r="D2" s="43"/>
      <c r="E2" s="43"/>
      <c r="F2" s="43"/>
      <c r="G2" s="43"/>
      <c r="H2" s="43"/>
      <c r="I2" s="43"/>
      <c r="J2" s="43"/>
      <c r="K2" s="44"/>
    </row>
    <row r="3" spans="1:11" s="1" customFormat="1" ht="12.75" customHeight="1">
      <c r="A3" s="45" t="s">
        <v>0</v>
      </c>
      <c r="B3" s="47" t="s">
        <v>10</v>
      </c>
      <c r="C3" s="47" t="s">
        <v>11</v>
      </c>
      <c r="D3" s="49" t="s">
        <v>404</v>
      </c>
      <c r="E3" s="49" t="s">
        <v>7</v>
      </c>
      <c r="F3" s="49" t="s">
        <v>12</v>
      </c>
      <c r="G3" s="49" t="s">
        <v>405</v>
      </c>
      <c r="H3" s="49"/>
      <c r="I3" s="49" t="s">
        <v>381</v>
      </c>
      <c r="J3" s="49" t="s">
        <v>6</v>
      </c>
      <c r="K3" s="37" t="s">
        <v>5</v>
      </c>
    </row>
    <row r="4" spans="1:11" s="1" customFormat="1" ht="21" customHeight="1" thickBot="1">
      <c r="A4" s="46"/>
      <c r="B4" s="48"/>
      <c r="C4" s="48"/>
      <c r="D4" s="48"/>
      <c r="E4" s="48"/>
      <c r="F4" s="48"/>
      <c r="G4" s="7" t="s">
        <v>379</v>
      </c>
      <c r="H4" s="28" t="s">
        <v>380</v>
      </c>
      <c r="I4" s="48"/>
      <c r="J4" s="48"/>
      <c r="K4" s="38"/>
    </row>
    <row r="5" spans="1:10" ht="15">
      <c r="A5" s="53" t="s">
        <v>406</v>
      </c>
      <c r="B5" s="54"/>
      <c r="C5" s="54"/>
      <c r="D5" s="54"/>
      <c r="E5" s="54"/>
      <c r="F5" s="54"/>
      <c r="G5" s="54"/>
      <c r="H5" s="54"/>
      <c r="I5" s="54"/>
      <c r="J5" s="54"/>
    </row>
    <row r="6" spans="1:11" ht="12.75">
      <c r="A6" s="13" t="s">
        <v>415</v>
      </c>
      <c r="B6" s="13" t="s">
        <v>416</v>
      </c>
      <c r="C6" s="13" t="s">
        <v>417</v>
      </c>
      <c r="D6" s="13" t="str">
        <f>"1,0000"</f>
        <v>1,0000</v>
      </c>
      <c r="E6" s="13" t="s">
        <v>515</v>
      </c>
      <c r="F6" s="13" t="s">
        <v>129</v>
      </c>
      <c r="G6" s="15" t="s">
        <v>102</v>
      </c>
      <c r="H6" s="31" t="s">
        <v>418</v>
      </c>
      <c r="I6" s="13" t="str">
        <f>"2700,0"</f>
        <v>2700,0</v>
      </c>
      <c r="J6" s="15" t="str">
        <f>"36,2903"</f>
        <v>36,2903</v>
      </c>
      <c r="K6" s="13" t="s">
        <v>32</v>
      </c>
    </row>
    <row r="7" spans="1:11" ht="12.75">
      <c r="A7" s="19" t="s">
        <v>419</v>
      </c>
      <c r="B7" s="19" t="s">
        <v>174</v>
      </c>
      <c r="C7" s="19" t="s">
        <v>153</v>
      </c>
      <c r="D7" s="19" t="str">
        <f>"1,0000"</f>
        <v>1,0000</v>
      </c>
      <c r="E7" s="19" t="s">
        <v>107</v>
      </c>
      <c r="F7" s="19" t="s">
        <v>101</v>
      </c>
      <c r="G7" s="21" t="s">
        <v>102</v>
      </c>
      <c r="H7" s="32" t="s">
        <v>420</v>
      </c>
      <c r="I7" s="19" t="str">
        <f>"1100,0"</f>
        <v>1100,0</v>
      </c>
      <c r="J7" s="21" t="str">
        <f>"11,0000"</f>
        <v>11,0000</v>
      </c>
      <c r="K7" s="19" t="s">
        <v>32</v>
      </c>
    </row>
    <row r="9" ht="15">
      <c r="E9" s="8" t="s">
        <v>13</v>
      </c>
    </row>
    <row r="10" ht="15">
      <c r="E10" s="8" t="s">
        <v>14</v>
      </c>
    </row>
    <row r="11" ht="15">
      <c r="E11" s="8" t="s">
        <v>15</v>
      </c>
    </row>
    <row r="12" ht="15">
      <c r="E12" s="8" t="s">
        <v>16</v>
      </c>
    </row>
    <row r="13" ht="15">
      <c r="E13" s="8" t="s">
        <v>16</v>
      </c>
    </row>
    <row r="14" ht="15">
      <c r="E14" s="8" t="s">
        <v>17</v>
      </c>
    </row>
    <row r="15" ht="15">
      <c r="E15" s="8"/>
    </row>
    <row r="17" spans="1:2" ht="18">
      <c r="A17" s="9" t="s">
        <v>18</v>
      </c>
      <c r="B17" s="9"/>
    </row>
    <row r="18" spans="1:2" ht="15">
      <c r="A18" s="22" t="s">
        <v>232</v>
      </c>
      <c r="B18" s="22"/>
    </row>
    <row r="19" spans="1:2" ht="14.25">
      <c r="A19" s="24"/>
      <c r="B19" s="25" t="s">
        <v>264</v>
      </c>
    </row>
    <row r="20" spans="1:5" ht="15">
      <c r="A20" s="26" t="s">
        <v>219</v>
      </c>
      <c r="B20" s="26" t="s">
        <v>220</v>
      </c>
      <c r="C20" s="26" t="s">
        <v>221</v>
      </c>
      <c r="D20" s="26" t="s">
        <v>222</v>
      </c>
      <c r="E20" s="26" t="s">
        <v>408</v>
      </c>
    </row>
    <row r="21" spans="1:5" ht="12.75">
      <c r="A21" s="23" t="s">
        <v>414</v>
      </c>
      <c r="B21" s="4" t="s">
        <v>267</v>
      </c>
      <c r="C21" s="4" t="s">
        <v>409</v>
      </c>
      <c r="D21" s="4" t="s">
        <v>421</v>
      </c>
      <c r="E21" s="27" t="s">
        <v>422</v>
      </c>
    </row>
    <row r="22" spans="1:5" ht="12.75">
      <c r="A22" s="23" t="s">
        <v>172</v>
      </c>
      <c r="B22" s="4" t="s">
        <v>267</v>
      </c>
      <c r="C22" s="4" t="s">
        <v>409</v>
      </c>
      <c r="D22" s="4" t="s">
        <v>423</v>
      </c>
      <c r="E22" s="27" t="s">
        <v>424</v>
      </c>
    </row>
  </sheetData>
  <sheetProtection/>
  <mergeCells count="12">
    <mergeCell ref="I3:I4"/>
    <mergeCell ref="J3:J4"/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A1" sqref="A1:K2"/>
    </sheetView>
  </sheetViews>
  <sheetFormatPr defaultColWidth="9.00390625" defaultRowHeight="12.75"/>
  <cols>
    <col min="1" max="1" width="26.00390625" style="4" bestFit="1" customWidth="1"/>
    <col min="2" max="2" width="28.625" style="4" bestFit="1" customWidth="1"/>
    <col min="3" max="4" width="10.625" style="4" bestFit="1" customWidth="1"/>
    <col min="5" max="5" width="22.75390625" style="4" bestFit="1" customWidth="1"/>
    <col min="6" max="6" width="32.25390625" style="4" bestFit="1" customWidth="1"/>
    <col min="7" max="7" width="8.625" style="3" customWidth="1"/>
    <col min="8" max="8" width="10.25390625" style="29" customWidth="1"/>
    <col min="9" max="9" width="7.875" style="4" bestFit="1" customWidth="1"/>
    <col min="10" max="10" width="7.625" style="3" bestFit="1" customWidth="1"/>
    <col min="11" max="11" width="8.875" style="4" bestFit="1" customWidth="1"/>
    <col min="12" max="16384" width="9.125" style="3" customWidth="1"/>
  </cols>
  <sheetData>
    <row r="1" spans="1:11" s="2" customFormat="1" ht="28.5" customHeight="1">
      <c r="A1" s="52" t="s">
        <v>502</v>
      </c>
      <c r="B1" s="40"/>
      <c r="C1" s="40"/>
      <c r="D1" s="40"/>
      <c r="E1" s="40"/>
      <c r="F1" s="40"/>
      <c r="G1" s="40"/>
      <c r="H1" s="40"/>
      <c r="I1" s="40"/>
      <c r="J1" s="40"/>
      <c r="K1" s="41"/>
    </row>
    <row r="2" spans="1:11" s="2" customFormat="1" ht="61.5" customHeight="1" thickBot="1">
      <c r="A2" s="42"/>
      <c r="B2" s="43"/>
      <c r="C2" s="43"/>
      <c r="D2" s="43"/>
      <c r="E2" s="43"/>
      <c r="F2" s="43"/>
      <c r="G2" s="43"/>
      <c r="H2" s="43"/>
      <c r="I2" s="43"/>
      <c r="J2" s="43"/>
      <c r="K2" s="44"/>
    </row>
    <row r="3" spans="1:11" s="1" customFormat="1" ht="12.75" customHeight="1">
      <c r="A3" s="45" t="s">
        <v>0</v>
      </c>
      <c r="B3" s="47" t="s">
        <v>10</v>
      </c>
      <c r="C3" s="47" t="s">
        <v>11</v>
      </c>
      <c r="D3" s="49" t="s">
        <v>404</v>
      </c>
      <c r="E3" s="49" t="s">
        <v>7</v>
      </c>
      <c r="F3" s="49" t="s">
        <v>12</v>
      </c>
      <c r="G3" s="49" t="s">
        <v>405</v>
      </c>
      <c r="H3" s="49"/>
      <c r="I3" s="49" t="s">
        <v>381</v>
      </c>
      <c r="J3" s="49" t="s">
        <v>6</v>
      </c>
      <c r="K3" s="37" t="s">
        <v>5</v>
      </c>
    </row>
    <row r="4" spans="1:11" s="1" customFormat="1" ht="21" customHeight="1" thickBot="1">
      <c r="A4" s="46"/>
      <c r="B4" s="48"/>
      <c r="C4" s="48"/>
      <c r="D4" s="48"/>
      <c r="E4" s="48"/>
      <c r="F4" s="48"/>
      <c r="G4" s="7" t="s">
        <v>379</v>
      </c>
      <c r="H4" s="28" t="s">
        <v>380</v>
      </c>
      <c r="I4" s="48"/>
      <c r="J4" s="48"/>
      <c r="K4" s="38"/>
    </row>
    <row r="5" spans="1:10" ht="15">
      <c r="A5" s="53" t="s">
        <v>406</v>
      </c>
      <c r="B5" s="54"/>
      <c r="C5" s="54"/>
      <c r="D5" s="54"/>
      <c r="E5" s="54"/>
      <c r="F5" s="54"/>
      <c r="G5" s="54"/>
      <c r="H5" s="54"/>
      <c r="I5" s="54"/>
      <c r="J5" s="54"/>
    </row>
    <row r="6" spans="1:11" ht="12.75">
      <c r="A6" s="10" t="s">
        <v>104</v>
      </c>
      <c r="B6" s="10" t="s">
        <v>105</v>
      </c>
      <c r="C6" s="10" t="s">
        <v>106</v>
      </c>
      <c r="D6" s="10" t="str">
        <f>"1,0000"</f>
        <v>1,0000</v>
      </c>
      <c r="E6" s="10" t="s">
        <v>107</v>
      </c>
      <c r="F6" s="10" t="s">
        <v>101</v>
      </c>
      <c r="G6" s="12" t="s">
        <v>398</v>
      </c>
      <c r="H6" s="30" t="s">
        <v>29</v>
      </c>
      <c r="I6" s="10" t="str">
        <f>"1925,0"</f>
        <v>1925,0</v>
      </c>
      <c r="J6" s="12" t="str">
        <f>"26,1904"</f>
        <v>26,1904</v>
      </c>
      <c r="K6" s="10" t="s">
        <v>32</v>
      </c>
    </row>
    <row r="8" ht="15">
      <c r="E8" s="8" t="s">
        <v>13</v>
      </c>
    </row>
    <row r="9" ht="15">
      <c r="E9" s="8" t="s">
        <v>14</v>
      </c>
    </row>
    <row r="10" ht="15">
      <c r="E10" s="8" t="s">
        <v>15</v>
      </c>
    </row>
    <row r="11" ht="15">
      <c r="E11" s="8" t="s">
        <v>16</v>
      </c>
    </row>
    <row r="12" ht="15">
      <c r="E12" s="8" t="s">
        <v>16</v>
      </c>
    </row>
    <row r="13" ht="15">
      <c r="E13" s="8" t="s">
        <v>17</v>
      </c>
    </row>
    <row r="14" ht="15">
      <c r="E14" s="8"/>
    </row>
    <row r="16" spans="1:2" ht="18">
      <c r="A16" s="9" t="s">
        <v>18</v>
      </c>
      <c r="B16" s="9"/>
    </row>
    <row r="17" spans="1:2" ht="15">
      <c r="A17" s="22" t="s">
        <v>232</v>
      </c>
      <c r="B17" s="22"/>
    </row>
    <row r="18" spans="1:2" ht="14.25">
      <c r="A18" s="24"/>
      <c r="B18" s="25" t="s">
        <v>264</v>
      </c>
    </row>
    <row r="19" spans="1:5" ht="15">
      <c r="A19" s="26" t="s">
        <v>219</v>
      </c>
      <c r="B19" s="26" t="s">
        <v>220</v>
      </c>
      <c r="C19" s="26" t="s">
        <v>221</v>
      </c>
      <c r="D19" s="26" t="s">
        <v>222</v>
      </c>
      <c r="E19" s="26" t="s">
        <v>408</v>
      </c>
    </row>
    <row r="20" spans="1:5" ht="12.75">
      <c r="A20" s="23" t="s">
        <v>103</v>
      </c>
      <c r="B20" s="4" t="s">
        <v>267</v>
      </c>
      <c r="C20" s="4" t="s">
        <v>409</v>
      </c>
      <c r="D20" s="4" t="s">
        <v>412</v>
      </c>
      <c r="E20" s="27" t="s">
        <v>413</v>
      </c>
    </row>
  </sheetData>
  <sheetProtection/>
  <mergeCells count="12">
    <mergeCell ref="I3:I4"/>
    <mergeCell ref="J3:J4"/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Tomchin</dc:creator>
  <cp:keywords/>
  <dc:description/>
  <cp:lastModifiedBy>Андрей</cp:lastModifiedBy>
  <cp:lastPrinted>2015-07-16T19:10:53Z</cp:lastPrinted>
  <dcterms:created xsi:type="dcterms:W3CDTF">2002-06-16T13:36:44Z</dcterms:created>
  <dcterms:modified xsi:type="dcterms:W3CDTF">2019-08-29T16:14:34Z</dcterms:modified>
  <cp:category/>
  <cp:version/>
  <cp:contentType/>
  <cp:contentStatus/>
</cp:coreProperties>
</file>